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15" windowWidth="12120" windowHeight="8655" tabRatio="528" firstSheet="1" activeTab="2"/>
  </bookViews>
  <sheets>
    <sheet name="RESUMEN" sheetId="1" r:id="rId1"/>
    <sheet name="Ajuste_Resolu" sheetId="2" r:id="rId2"/>
    <sheet name="Hoja1" sheetId="3" r:id="rId3"/>
  </sheets>
  <definedNames>
    <definedName name="_xlnm.Print_Titles" localSheetId="1">'Ajuste_Resolu'!$2:$8</definedName>
    <definedName name="_xlnm.Print_Titles" localSheetId="2">'Hoja1'!$2:$9</definedName>
  </definedNames>
  <calcPr fullCalcOnLoad="1"/>
</workbook>
</file>

<file path=xl/comments3.xml><?xml version="1.0" encoding="utf-8"?>
<comments xmlns="http://schemas.openxmlformats.org/spreadsheetml/2006/main">
  <authors>
    <author>PROCURADURIA GENERAL DE LA NACION</author>
  </authors>
  <commentList>
    <comment ref="F211" authorId="0">
      <text>
        <r>
          <rPr>
            <b/>
            <sz val="8"/>
            <rFont val="Tahoma"/>
            <family val="0"/>
          </rPr>
          <t xml:space="preserve">SEGÚN LOS COMPUTADORES QUE VAN PARA LAS PROC. REG.
</t>
        </r>
      </text>
    </comment>
  </commentList>
</comments>
</file>

<file path=xl/sharedStrings.xml><?xml version="1.0" encoding="utf-8"?>
<sst xmlns="http://schemas.openxmlformats.org/spreadsheetml/2006/main" count="3395" uniqueCount="1690">
  <si>
    <t>Camioneta  tracción  4X4  / 5 puertas  Desplazamiento 3.500 C.C. Motor de Gasolina,  Deducible      Sistema alimentación: Inyección Automática,  Caja de 5 Veloci  mecánica  7 cinturones, Dirección :  Hidráulica, suspensión delantera y Trace</t>
  </si>
  <si>
    <t>Toner Para Impresora Hewlett Packard Laser  6L   Ref: C 3906 A</t>
  </si>
  <si>
    <t>DEFICIT</t>
  </si>
  <si>
    <t>Toner Para Impresora Hewlett Packard Laser 4  y 5L Ref: 92298 A</t>
  </si>
  <si>
    <t>CERAMICA ALFA MARMOLIZADA DE 30 X30 TRAFICO 4</t>
  </si>
  <si>
    <t>PLIEGO</t>
  </si>
  <si>
    <t>SCHLAGE T.A-ALCOBAS A 50WS/MADERA GOLD</t>
  </si>
  <si>
    <t>MASTICO</t>
  </si>
  <si>
    <t xml:space="preserve">LISTELLO MACEDONIA 5 DE 8X25 </t>
  </si>
  <si>
    <t>CHAZOS PLASTICOS DE 3/16 PULGADA</t>
  </si>
  <si>
    <t>CHAZOS PLASTICOS DE 3/8 PULGADA</t>
  </si>
  <si>
    <t>CHAZOS PLASTICOS DE 1/2 PULGADA</t>
  </si>
  <si>
    <t>CHAZO PLASTICO HILTI CON PUNTILLA DE 1/4 X 1 7/16</t>
  </si>
  <si>
    <t>DISCO PARA PULIDORA DE TUGSTENO 3M</t>
  </si>
  <si>
    <t>canales de dicados</t>
  </si>
  <si>
    <t>Ancho de banda</t>
  </si>
  <si>
    <t>OTRAS COMPRAS DE EQUIPOS</t>
  </si>
  <si>
    <t>ESTOPA DE ALGODÓN</t>
  </si>
  <si>
    <t>PUNTILLA CON CABEZA DE 1 PULGADAS</t>
  </si>
  <si>
    <t>PUNTILLA CON CABEZA DE 2 PULGADAS</t>
  </si>
  <si>
    <t>PUNTILLA CON CABEZA DE 3 PULGADAS</t>
  </si>
  <si>
    <t>PUNTILLA CON CABEZA DE 1 1/2 PULGADAS</t>
  </si>
  <si>
    <t>PUNTILLA CON CABEZA DE 3/4 PULGADA ACERADA</t>
  </si>
  <si>
    <t>PUNTILLA CON CABEZA DE 1 PULGADA ACERADA</t>
  </si>
  <si>
    <t>PUNTILLA CON CABEZA DE 1 1/2 PULGADA ACERADA</t>
  </si>
  <si>
    <t>1.35.1.14</t>
  </si>
  <si>
    <t>1.25.1.26</t>
  </si>
  <si>
    <t>1.25.1.27</t>
  </si>
  <si>
    <t>1.25.1.1</t>
  </si>
  <si>
    <t>1.25.1.15</t>
  </si>
  <si>
    <t>1.48.2.7</t>
  </si>
  <si>
    <t>1.35.3.5</t>
  </si>
  <si>
    <t>3.3.10.2</t>
  </si>
  <si>
    <t>1.57.3.4</t>
  </si>
  <si>
    <t>1.48.1.18</t>
  </si>
  <si>
    <t>1.25.1.16</t>
  </si>
  <si>
    <t>1.35.2.6</t>
  </si>
  <si>
    <t>1.36.6.22</t>
  </si>
  <si>
    <t>1.27.3.28</t>
  </si>
  <si>
    <t>1.35.5.14</t>
  </si>
  <si>
    <t>1.36.8.4</t>
  </si>
  <si>
    <t>1.27.3.12</t>
  </si>
  <si>
    <t>3.2.2.12</t>
  </si>
  <si>
    <t>3.2.2.7</t>
  </si>
  <si>
    <t>1.35.5.6</t>
  </si>
  <si>
    <t>1.35.5.11</t>
  </si>
  <si>
    <t>CANAL TERMINAL EN FICROCEMENTO DE 3.7 MM x 1 1/2 DE ALTO (TIRAS)</t>
  </si>
  <si>
    <t>CANASTILLAS "SIFONES "PARA LAVAPLATOS DE 2"</t>
  </si>
  <si>
    <t>1.16.1.3</t>
  </si>
  <si>
    <t>CAOLIN  "ROCA O PIEDRA"</t>
  </si>
  <si>
    <t>1.57.1.1</t>
  </si>
  <si>
    <t>1.35.3.18</t>
  </si>
  <si>
    <t>1.35.3.17</t>
  </si>
  <si>
    <t>1.34.2.10</t>
  </si>
  <si>
    <t>1.35.5.8</t>
  </si>
  <si>
    <t>1.27.3.1</t>
  </si>
  <si>
    <t>1.57.1.4</t>
  </si>
  <si>
    <t>1.37.7.6</t>
  </si>
  <si>
    <t>1.23.2.3</t>
  </si>
  <si>
    <t>1.25.1.23</t>
  </si>
  <si>
    <t>1.34.2.1</t>
  </si>
  <si>
    <t>1.34.3.1</t>
  </si>
  <si>
    <t>1.37.7.10</t>
  </si>
  <si>
    <t>1.35.8.7</t>
  </si>
  <si>
    <t>1.49.5.4</t>
  </si>
  <si>
    <t>1.27.1.7</t>
  </si>
  <si>
    <t>1.35.8.12</t>
  </si>
  <si>
    <t>Cassettes de Audio estándar de 60'</t>
  </si>
  <si>
    <r>
      <t xml:space="preserve">Papel opalina (resma) </t>
    </r>
    <r>
      <rPr>
        <sz val="10"/>
        <color indexed="22"/>
        <rFont val="Arial"/>
        <family val="2"/>
      </rPr>
      <t>O prensa</t>
    </r>
  </si>
  <si>
    <t>Pilas Recargable superiores a 1500 Miliamperios para camara fotografica Digital</t>
  </si>
  <si>
    <t>Lampara para video beam</t>
  </si>
  <si>
    <t>Digiturno</t>
  </si>
  <si>
    <t>1.42.6</t>
  </si>
  <si>
    <t xml:space="preserve">Organizadores de llaves </t>
  </si>
  <si>
    <t>1.68.8.29</t>
  </si>
  <si>
    <t xml:space="preserve">Perfileria En Lamina Galvanizada </t>
  </si>
  <si>
    <t>1.61.4</t>
  </si>
  <si>
    <t>1.35.3.1</t>
  </si>
  <si>
    <t>1.32.1.1</t>
  </si>
  <si>
    <t>1.34.2.7</t>
  </si>
  <si>
    <t>1.32.2.11</t>
  </si>
  <si>
    <t>3.3.9.10</t>
  </si>
  <si>
    <t>1.37.5.19</t>
  </si>
  <si>
    <t>1.27.3.9</t>
  </si>
  <si>
    <t>1.68.3.11</t>
  </si>
  <si>
    <t>1.40.2.14</t>
  </si>
  <si>
    <t>1.27.3.23</t>
  </si>
  <si>
    <t>1.25.1.19</t>
  </si>
  <si>
    <t>1.34.3.4</t>
  </si>
  <si>
    <t>1.35.3.2</t>
  </si>
  <si>
    <t>1.57.1.11</t>
  </si>
  <si>
    <t>1.18.3.16</t>
  </si>
  <si>
    <t>1.48.2.4</t>
  </si>
  <si>
    <t>1.48.8</t>
  </si>
  <si>
    <t>1.14.18.4</t>
  </si>
  <si>
    <t>1.25.1.2</t>
  </si>
  <si>
    <t>1.57.4.5</t>
  </si>
  <si>
    <t>1.35.5.1</t>
  </si>
  <si>
    <t>1.29.2.25</t>
  </si>
  <si>
    <t>1.25.1.13</t>
  </si>
  <si>
    <t>1.37.6.3</t>
  </si>
  <si>
    <t>1.35.7.8</t>
  </si>
  <si>
    <t>1.32.4.1</t>
  </si>
  <si>
    <t>1.27.3.21</t>
  </si>
  <si>
    <t>1.27.3.39</t>
  </si>
  <si>
    <t>1.68.8.23</t>
  </si>
  <si>
    <t>1.38.8.12</t>
  </si>
  <si>
    <t>1.49.1.7</t>
  </si>
  <si>
    <t>1.57.1.16</t>
  </si>
  <si>
    <t>Ordenador de 520 llaves, construido en lámina calibre 18 C.R., pintado electrostáticamente con ganchos y su identificación numérica, con índice numérico, en calcomonías autoadhesivas, con dos chapas de seguirdad con llaves anticopia.</t>
  </si>
  <si>
    <t>x</t>
  </si>
  <si>
    <t>1.57.3.2</t>
  </si>
  <si>
    <t>1.14.16.5</t>
  </si>
  <si>
    <t>1.40.3.11</t>
  </si>
  <si>
    <t>1.34.2.5</t>
  </si>
  <si>
    <t>1.27.7.13</t>
  </si>
  <si>
    <t>1.27.3.42</t>
  </si>
  <si>
    <t>1.57.2.6</t>
  </si>
  <si>
    <t>1.57.3.8</t>
  </si>
  <si>
    <t>1.35.3.11</t>
  </si>
  <si>
    <t>1.27.3.8</t>
  </si>
  <si>
    <t>1.34.2.4</t>
  </si>
  <si>
    <t>1.34.4.10</t>
  </si>
  <si>
    <t>1.27.3.3</t>
  </si>
  <si>
    <t>1.27.3.46</t>
  </si>
  <si>
    <t>1.28.1.6</t>
  </si>
  <si>
    <t>1.68.6.4</t>
  </si>
  <si>
    <t>1.37.4.7</t>
  </si>
  <si>
    <t>1.35.1.4</t>
  </si>
  <si>
    <t>1.12.1.5</t>
  </si>
  <si>
    <t>PUNTILLA SIN CABEZA DE 3/4 PULGADA</t>
  </si>
  <si>
    <t>PUNTILLA SIN CABEZA DE 1 PULGADA</t>
  </si>
  <si>
    <t>PUNTILLA SIN CABEZA DE 1 1/2 PULGADA</t>
  </si>
  <si>
    <t>PUNTILLA SIN CABEZA DE 2 PULGADA</t>
  </si>
  <si>
    <t>Sillas tandem de (3) puestos</t>
  </si>
  <si>
    <t>Tijeras</t>
  </si>
  <si>
    <t>Toner Para Impresora Hewlett Packard Laser 92295 A</t>
  </si>
  <si>
    <t>Toner Para Impresora Hewlett Packard Laser 51626A  INYECCION</t>
  </si>
  <si>
    <t xml:space="preserve">Toner Para Impresora Hewlett Packard Laser 29292A  </t>
  </si>
  <si>
    <t>REMACHE CIEGO SERIE 6-4 DE 3/16 X 3/8 PULGADA</t>
  </si>
  <si>
    <t>TORNILLO PARA MADERA DE 1/2 X  PULGADA</t>
  </si>
  <si>
    <t>GRUESA</t>
  </si>
  <si>
    <t>TORNILLO PARA MADERA DE 1 X  PULGADA</t>
  </si>
  <si>
    <t>TORNILLO PARA MADERA DE 1 1/2 X PULGADA</t>
  </si>
  <si>
    <t>TORNILLO PARA MADERA DE 2 X  PULGADA</t>
  </si>
  <si>
    <t>TORNILLO PARA MADERA DE 2 1/2 X  PULGADA</t>
  </si>
  <si>
    <t>TORNILLO PARA MADERA DE 3 X  PULGADA</t>
  </si>
  <si>
    <t>TORNILLO PARA LAMINA DE 1/2 X  PULGADA</t>
  </si>
  <si>
    <t>TORNILLO PARA LAMINA DE 1 X  PULGADA</t>
  </si>
  <si>
    <t>TORNILLO PARA LAMINA DE 1 1/2 X  PULGADA</t>
  </si>
  <si>
    <t xml:space="preserve">Telefonos </t>
  </si>
  <si>
    <t xml:space="preserve"> telefónia Celular</t>
  </si>
  <si>
    <t>TORNILLO PARA LAMINA DE 2 X  PULGADA</t>
  </si>
  <si>
    <t>TORNILLO PARA LAMINA DE 2 1/2 X  PULGADA</t>
  </si>
  <si>
    <t>SEGUETAS NICHOLSON O SIMILAR</t>
  </si>
  <si>
    <t>ACOPLES EN P.V.C. PARA LAVAMANOS DE 1/2 PULGADA</t>
  </si>
  <si>
    <t>ACOPLES PARA SANITARIO EN P.V.C.</t>
  </si>
  <si>
    <t xml:space="preserve">DUCHA MEZCLADOR SIN SALIDA BAÑERA </t>
  </si>
  <si>
    <t>EMPAQUE PARA MEZCLADOR CIERRE RAPIDO</t>
  </si>
  <si>
    <t>FLUXOMETROS SLOAN GEN  SANITARIOS - ORINALES</t>
  </si>
  <si>
    <t>FLUXOMETROS SLOAN GEN / ORINALES</t>
  </si>
  <si>
    <t>LLAVES P/LAVAMANOS EN BRONCE CROMADAS</t>
  </si>
  <si>
    <t>1.52.1.48.12</t>
  </si>
  <si>
    <t>Plastilina en bloque, uso escolar, presentación en caja de 2 unidades y peso menor o igual a 50 g, con tonalidad monocolor. (plastilina limpiatipos) o Plastilina limpiatipos caja por 2 barra</t>
  </si>
  <si>
    <t xml:space="preserve">Plumaster Negro y Azul o Plumígrafo de plástico, ancho de línea 0.3 mm, tinta color azul y negro, sistema del capuchón con clip y presentación por 1 unidad.  </t>
  </si>
  <si>
    <t xml:space="preserve">Resaltadores  o Resaltador desechable, contenido de tinta mayor a 5 g y menor o igual a 8,5 g, de punta biselada, elaborada en felpa acrílica, para realizar 2 trazos . </t>
  </si>
  <si>
    <t>Papel para sumadora de 57 mmsu o Rollo de papel para sumadora, en papel bond, con impresión, de 5,7 cm de ancho y 30 m de largo, por 1 und.</t>
  </si>
  <si>
    <t>Stickers Ref.8822 TA.8x11  Caja x 8800 Uns o Rótulos autohadesivos (stiker) para computador de 86 mm x 42 mm (Caja x 7200)</t>
  </si>
  <si>
    <t>Rotulos estiquer referencia 8822 TA 8 x11, caja por 8800 unidades</t>
  </si>
  <si>
    <t xml:space="preserve">Sobre De Manila Tam. Carta   De 22 5x29 Cms o Sobre bolsa, en papel manila de 75 g/m2, de tamaño 22.5x29.0cm, sin burbuja plástica de amortiguación, presentación exterior sin ventanilla, de tipo solapa universal y engomada.  </t>
  </si>
  <si>
    <t>Sobre De Manila Tam. Oficio  De 25x35 Cms o Sobre bolsa, en papel manila de 75 g/m2, de tamaño 25.0x35.0cm, sin burbuja plástica de amortiguación, presentación exterior sin ventanilla, de tipo solapa universal y engomada.</t>
  </si>
  <si>
    <t xml:space="preserve">Sobre Manila Tam. Extra-Oficio  De 27x37 Cms o Sobre bolsa, en papel manila de 75 g/m2, de tamaño 27.0x37.0cm, sin burbuja plástica de amortiguación, presentación exterior sin ventanilla, de tipo solapa universal y engomada.  </t>
  </si>
  <si>
    <t>1.52.3.8.1615</t>
  </si>
  <si>
    <t>1.52.3.8.1630</t>
  </si>
  <si>
    <t>1.52.3.8.1645</t>
  </si>
  <si>
    <t xml:space="preserve">Sobre Manila Tam. Gigante   De 30x42 Cms o Sobre bolsa, en papel manila de 75 g/m2, de tamaño 30.0x42.0cm, sin burbuja plástica de amortiguación, presentación exterior sin ventanilla, de tipo solapa universal y engomada.  </t>
  </si>
  <si>
    <t>1.52.3.8.1650</t>
  </si>
  <si>
    <t xml:space="preserve">Sobre Manila Tam. Radiografia o Sobre bolsa, en papel manila de 75 g/m2, de tamaño 37.0x45.0cm, sin burbuja plástica de amortiguación, presentación exterior sin ventanilla, de tipo solapa universal y engomada.  </t>
  </si>
  <si>
    <t>Sobre Blancos Tamaño Oficio   De 75 Grs  21a 25 x 10 a 14 cms o Sobre común, en papel bond de 75 g/m2, de tamaño 23.4x12.0cm, sin impresión interior, presentación exterior sin ventanilla, de tipo solapa lateral y autoadhesiva.</t>
  </si>
  <si>
    <t>1.52.3.8.46</t>
  </si>
  <si>
    <t>Tinta Para Sellos De Caucho  Frasco x 28 a 30 CC. o Tinta para sellos de caucho, de color verde, y presentación de 20 cm3  (verde y azul)</t>
  </si>
  <si>
    <t>Toner Para Fotocopia Sharp SF-2114 de Alto Rendimiento</t>
  </si>
  <si>
    <t>MEZCLADOR L/MANOS TIPO PORCELANA/8 PULGADA</t>
  </si>
  <si>
    <t>MEZCLADOR L/PLATO TIPO ALETA</t>
  </si>
  <si>
    <t>MEZCLADOR L/PLATO TIPO  IRIS CUELLO DE GANSO</t>
  </si>
  <si>
    <t>VALVULA DE REGULACION DE 1/2 PULGADA</t>
  </si>
  <si>
    <t>REGIONAL DE AMAZONAS</t>
  </si>
  <si>
    <t xml:space="preserve">Olla  de  3 litros </t>
  </si>
  <si>
    <t>Olleta de dos litros</t>
  </si>
  <si>
    <t>1.50.3</t>
  </si>
  <si>
    <t>Escobas de Nylon suave   1,56,2</t>
  </si>
  <si>
    <t>Esponjilla de brillo 12 Unidades  1.56.2</t>
  </si>
  <si>
    <t>Mechas para Traperos x 500 grs  1,56,2</t>
  </si>
  <si>
    <t>Limpiavidrios 500 cc   1.56.3</t>
  </si>
  <si>
    <t>Funjicidas 1,52,3</t>
  </si>
  <si>
    <t>Bolsa Plástica domestica para Basura de 60 x 100 calibre 2.  1.58.1</t>
  </si>
  <si>
    <t>VALVULA DE ENTRADA SANITARIO</t>
  </si>
  <si>
    <t>VALVULA DE SALIDA SANITARIO</t>
  </si>
  <si>
    <t>ARGOLLA GOZNE DE 1 1/2" / 1060125003</t>
  </si>
  <si>
    <t>BISAGRA DE 3/8" 188221 - CAPSULA</t>
  </si>
  <si>
    <t>BISAGRA  ALUMINIO EXT. 3 / 320075</t>
  </si>
  <si>
    <t>Cemento blanco</t>
  </si>
  <si>
    <t>Cemento Gris</t>
  </si>
  <si>
    <t>BISAGRA GABINETE / 1060025002</t>
  </si>
  <si>
    <t>BISAGRA PUERTA VAIVEN 90 GRADOS/1060030004</t>
  </si>
  <si>
    <t>CIERRA PUERTAS YALE / 2001</t>
  </si>
  <si>
    <t>HIERRO DE 1/4"  ACERO 37000 PSI</t>
  </si>
  <si>
    <t>HIERRO DE 3/8" ACERO  37000 PSI</t>
  </si>
  <si>
    <t>VARILLA DE 1/2" X 6 m ACERO 60000 PSI</t>
  </si>
  <si>
    <t>VARILLA DE 5/8" X 6 m ACERO 60000 PSI</t>
  </si>
  <si>
    <t>VARILLA DE 3/4" X 6 m ACERO 60000 PSI</t>
  </si>
  <si>
    <t>ESTUFLEX ESTUCO PLASTICO</t>
  </si>
  <si>
    <t>IMPERMEABILIZANTE ACRILICO ADIFACHADA 158</t>
  </si>
  <si>
    <t>PARAGUAS - IMPERMEABILIZANTE</t>
  </si>
  <si>
    <t>TELA ASFALTICA No.15</t>
  </si>
  <si>
    <t>BLOQUE No.4</t>
  </si>
  <si>
    <t>BLOQUE No.5</t>
  </si>
  <si>
    <t>BLOQUE No.6</t>
  </si>
  <si>
    <t>Bloque No. 3</t>
  </si>
  <si>
    <t xml:space="preserve">LADRILLO RECOCIDO </t>
  </si>
  <si>
    <t>LADRILLO TOLETE COMUN</t>
  </si>
  <si>
    <t>MADEFLEX LISO DE 1.22X 2.44 / ESPESOR 3 mm</t>
  </si>
  <si>
    <t>TABLEX DE 12 mm / 1.22 X 2.44</t>
  </si>
  <si>
    <t>TABLEX DE 19 mm / 1.22 X 2.44</t>
  </si>
  <si>
    <t>Cartelera con Pedestal</t>
  </si>
  <si>
    <t>Cartelera en Paño</t>
  </si>
  <si>
    <t>Cartelera en Acrilico</t>
  </si>
  <si>
    <t>Valvulina - pintas</t>
  </si>
  <si>
    <t xml:space="preserve">Filtro de aceite </t>
  </si>
  <si>
    <t>Filtro de Aire</t>
  </si>
  <si>
    <t>Filtro de Gasolina</t>
  </si>
  <si>
    <t>TRIPLEX DE 4 mm / 1.22 X 2.44</t>
  </si>
  <si>
    <t>TRIPLEX DE 9 mm / 1.22 X 2.44</t>
  </si>
  <si>
    <t>TRIPLEX DE 18 mm / 1.22 X 2.44</t>
  </si>
  <si>
    <t>ML</t>
  </si>
  <si>
    <t xml:space="preserve">CERCO EN ORDINARIO DE 0.8 X0.8 X 3.00  </t>
  </si>
  <si>
    <t>DURMIENTE EN ORDINARIO DE 0.4 X 0.4 X 3.00</t>
  </si>
  <si>
    <t>REPISA EN ABARCO DE 0.8 X 0.4 X 3.00</t>
  </si>
  <si>
    <t>TABLA CHAPA  EN ORDINARIO DE .30 X 0.20 X 3.00</t>
  </si>
  <si>
    <t>Municiones</t>
  </si>
  <si>
    <t>Cartucho indumil Cal 9 mm</t>
  </si>
  <si>
    <t>Cartucho indumil Cal 32</t>
  </si>
  <si>
    <t>Armamento</t>
  </si>
  <si>
    <t xml:space="preserve">ANGULO DE 1/2 X 1/2 X 6.00 </t>
  </si>
  <si>
    <t>1.51.4.9</t>
  </si>
  <si>
    <t>1.52.3.5</t>
  </si>
  <si>
    <t>1.52.2</t>
  </si>
  <si>
    <t>1.52.1.</t>
  </si>
  <si>
    <t>1.27.1</t>
  </si>
  <si>
    <t>1.37.16</t>
  </si>
  <si>
    <t>1.5.1.3</t>
  </si>
  <si>
    <t>1.47.4</t>
  </si>
  <si>
    <t xml:space="preserve">ANGULO CIELO FALSO 3/4 X 3/4 X 6.00 </t>
  </si>
  <si>
    <t>ANGULO TIPO MICHIGAN C.R. DE 3/4 X 3/4 X 6.00</t>
  </si>
  <si>
    <t>PIRLAN DE ALUMINIO DORADO</t>
  </si>
  <si>
    <t>TEE DE 1/2 PULGADA  TRAMO DE 6.00 M</t>
  </si>
  <si>
    <t>TEE DE 3/4 PULGADA  TRAMO DE 6.00 M</t>
  </si>
  <si>
    <t>TEE DE 3/4 PULGADA  TIPO MICHIGAN TRAMO DE 6.00 M</t>
  </si>
  <si>
    <t>ACRILTEX</t>
  </si>
  <si>
    <t>ANTICORROSIVO GRIS</t>
  </si>
  <si>
    <t>BARNIZ  BRILLANTE EXTERIOR LINEA 38</t>
  </si>
  <si>
    <t>BARNIZ  MATE EXTERIOR LINEA 38</t>
  </si>
  <si>
    <t>BARNIZ TRANSPARENTE</t>
  </si>
  <si>
    <t>Sacaganchos</t>
  </si>
  <si>
    <t>Toner Para fax kxf 1050</t>
  </si>
  <si>
    <t>Papel Termico Para Digiturno (x rollo) Ref:1000E</t>
  </si>
  <si>
    <t>Sofa Knoll de 2 y 3 puestos</t>
  </si>
  <si>
    <t>BROCHAS PICASSO DE 2 PULGADAS</t>
  </si>
  <si>
    <t>BROCHAS PICASSO DE 3 PULGADAS</t>
  </si>
  <si>
    <t>BROCHAS PICASSO DE 4 PULGADAS</t>
  </si>
  <si>
    <t>CARRAPLAST</t>
  </si>
  <si>
    <t>COLOR MINERAL ROJO</t>
  </si>
  <si>
    <t>DISOLVENTE THINNER</t>
  </si>
  <si>
    <t xml:space="preserve">Pegante En Barra  Tubo de  18  a 25 Grs </t>
  </si>
  <si>
    <t>Trr</t>
  </si>
  <si>
    <t>Piola   Calibre 18 madeja de 20 mts</t>
  </si>
  <si>
    <t>caja</t>
  </si>
  <si>
    <t>Sobre Blanco Oficio C/Ventanilla de 75 Grms De 21a25x10 a 14 Cms</t>
  </si>
  <si>
    <t>Tinta  Negra Para Estilografo  Frasco x 50 a 60 CC</t>
  </si>
  <si>
    <t>ESMALTE SINTETICO BRILLANTE COLOR A ESCOGER</t>
  </si>
  <si>
    <t>ESMALTE SINTETICO MATE COLOR A ESCOGER</t>
  </si>
  <si>
    <t>MARMOLINA X 40 KG</t>
  </si>
  <si>
    <t>SELLADOR LIJABLE 45%</t>
  </si>
  <si>
    <t>TAPAPOROS INCOLORO</t>
  </si>
  <si>
    <t>TINTILLA PARA MADERA</t>
  </si>
  <si>
    <t>YESO</t>
  </si>
  <si>
    <t>1.52.3</t>
  </si>
  <si>
    <t>DUROPISO DE 33 X 33 COLORES A ESCOGER</t>
  </si>
  <si>
    <t>GUARDAESCOBAS EM MARMOL DE 8 cm.DE ALTO</t>
  </si>
  <si>
    <t>cartulina paspartu</t>
  </si>
  <si>
    <t>icopor (láminas)</t>
  </si>
  <si>
    <t>Braker Totalizador</t>
  </si>
  <si>
    <t>CEMENTO BLANCO por 50 kilo</t>
  </si>
  <si>
    <t>ESMALTE DOMESTICO COLORES A  ESCOGER x 1/4</t>
  </si>
  <si>
    <t>MUEBLE - para sanitario</t>
  </si>
  <si>
    <t>MACEDONIA ARQUICER DE 25 X 25</t>
  </si>
  <si>
    <t>MARMOL NEGRO</t>
  </si>
  <si>
    <t>OLIMPIA DE 20.5 X 20.5</t>
  </si>
  <si>
    <t>Automavil sedan</t>
  </si>
  <si>
    <t xml:space="preserve">PISO LISTON GRANADILLO 8 cm ANCHO </t>
  </si>
  <si>
    <t>Purificadora para agua</t>
  </si>
  <si>
    <t>PLAN DE  COMPRA DE EQUIPO 2005</t>
  </si>
  <si>
    <t>EXTINTORES DE POLVO QUIMICO  SECO Tipo A  BC de 10 Libras, fabricado en lámina calibre 16 (2.0 espesor)</t>
  </si>
  <si>
    <t>PORCELANATO ESPAÑOL DE 48 X 48 / 50 X 50</t>
  </si>
  <si>
    <t xml:space="preserve">TABLON VITRIFICADO DE 25 X 25 X 0.4 </t>
  </si>
  <si>
    <t>ADOQUIN NATURAL DE 10 X 10</t>
  </si>
  <si>
    <t>ARGOS ARQUICER DE 20.5 X 20.5</t>
  </si>
  <si>
    <t>CODOS GALVANIZADOS DE 1/2 PULGADA</t>
  </si>
  <si>
    <t>CODOS GALVANIZADOS DE 1 PULGADA</t>
  </si>
  <si>
    <t>CODOS GALVANIZADOS DE 1 1/2 PULGADA</t>
  </si>
  <si>
    <t>NIPLE GALVANIZADO DE 1/2 X 5 cm</t>
  </si>
  <si>
    <t>NIPLE GALVANIZADO DE 1/2 X 10 cm</t>
  </si>
  <si>
    <t>TONER PARA IMPRESORA EPSON  Stylus 1000 Ref; S020025 (original).-</t>
  </si>
  <si>
    <t xml:space="preserve">ACOPLES PARA LAVAMANOS GRIFLEX </t>
  </si>
  <si>
    <t>Amarre para teja  o  Amarres Caballete o GANCHOS PARA TEJA</t>
  </si>
  <si>
    <t>GASTOS RESERVADOS</t>
  </si>
  <si>
    <t>MANTENIMIENTOS</t>
  </si>
  <si>
    <t xml:space="preserve">Soldadura para PVC </t>
  </si>
  <si>
    <t>Silicona transparente anti-hongos</t>
  </si>
  <si>
    <t>Pegacor blanco</t>
  </si>
  <si>
    <t xml:space="preserve">Limpiador para PVC </t>
  </si>
  <si>
    <t xml:space="preserve">Lavamanos línea institucional </t>
  </si>
  <si>
    <t>Estuco plástico</t>
  </si>
  <si>
    <t xml:space="preserve">Esmalte interior </t>
  </si>
  <si>
    <t xml:space="preserve">Árbol de entrada para sanitario </t>
  </si>
  <si>
    <t>Árbol de salida para sanitario ahorrador de agua</t>
  </si>
  <si>
    <t>Árbol de salida para sanitario alto consumo</t>
  </si>
  <si>
    <t xml:space="preserve">Desagües sencillos para lavamanos </t>
  </si>
  <si>
    <t>Destrina amarilla</t>
  </si>
  <si>
    <t>Diafragma para fluxometros Sloan Genn Americanos</t>
  </si>
  <si>
    <t>Emulsión asfáltica ED-9</t>
  </si>
  <si>
    <t>Adaptador para taladro con madril</t>
  </si>
  <si>
    <t>Rodillo de felpa de 1 1/2"</t>
  </si>
  <si>
    <t>Rodillo de felpa de 2"</t>
  </si>
  <si>
    <t>Rodillo de felpa de 9"</t>
  </si>
  <si>
    <t>Cinta de enmascarar de 1"</t>
  </si>
  <si>
    <t>Cinta de enmascarar de 1/2"</t>
  </si>
  <si>
    <t>Cinta de enmascarar de 2"</t>
  </si>
  <si>
    <t>Cinta teflón</t>
  </si>
  <si>
    <t>Brocha de 1"</t>
  </si>
  <si>
    <t>Brocha de 2"</t>
  </si>
  <si>
    <t>Brocha de 3"</t>
  </si>
  <si>
    <t>Broca de 1/8"</t>
  </si>
  <si>
    <t>Broca de 3/4"</t>
  </si>
  <si>
    <t>Broca de 5/16"</t>
  </si>
  <si>
    <t>Broca de 5/32"</t>
  </si>
  <si>
    <t>Broca de 9/64"</t>
  </si>
  <si>
    <t>Broca ranurada de 1/4" Nº 3</t>
  </si>
  <si>
    <r>
      <t xml:space="preserve">U.P.S. </t>
    </r>
    <r>
      <rPr>
        <sz val="11"/>
        <color indexed="9"/>
        <rFont val="Arial"/>
        <family val="2"/>
      </rPr>
      <t>Código de barras y/o</t>
    </r>
  </si>
  <si>
    <t xml:space="preserve">Taladro  </t>
  </si>
  <si>
    <t xml:space="preserve">Pacht Cord de 5 Pines  </t>
  </si>
  <si>
    <t>Ploter</t>
  </si>
  <si>
    <t>CUBS</t>
  </si>
  <si>
    <t xml:space="preserve">ACOPLES PARA SANITARIOGRIFLEX </t>
  </si>
  <si>
    <t>PAPEL MANTEQUILLA X 90 GRMS</t>
  </si>
  <si>
    <t>PAPEL MANTEQUILLA X 40 GRMS</t>
  </si>
  <si>
    <t>PAPEL BOND BASE 28.-</t>
  </si>
  <si>
    <t>CARTULINA (empaste nomina) 28 X38.-</t>
  </si>
  <si>
    <t>LLANTAS  175/70-13.-</t>
  </si>
  <si>
    <t>LLANTAS  31 X 10.50-15</t>
  </si>
  <si>
    <t>LLANTAS 130-70-17 para moto</t>
  </si>
  <si>
    <t>LLANTA 110/70-17 para moto</t>
  </si>
  <si>
    <t>LLANTA 100/90-57a para moto</t>
  </si>
  <si>
    <t>LLANTAS 130-80-17.- para moto</t>
  </si>
  <si>
    <t>LLANTAS 300-21.- para moto</t>
  </si>
  <si>
    <t>NEUMATICOS 110-90-19.- para moto</t>
  </si>
  <si>
    <t>NEUMATICO 130-18-17.- para moto</t>
  </si>
  <si>
    <t>NEUMATICO 300-21.- para moto</t>
  </si>
  <si>
    <t>EXTINTORES DE POLVO QUIMICO  SECO Tipo A  BC de 10 Libras, fabricado en lámina calibre 16 (1.5 espesor)</t>
  </si>
  <si>
    <t>TELEVISOR DE 21 " (sony)  Ref; KV21-FS100, potencia</t>
  </si>
  <si>
    <t xml:space="preserve">ARCHIVADORES METALICOS  DE 3 GAVETAS (2X1),  CON  2  GAVETAS PEQUEÑAS,  CON </t>
  </si>
  <si>
    <t>Persianas HORIZONTAL  Flexalum de 0.55 x 1.33 mts.-</t>
  </si>
  <si>
    <t>FRESA PARA RUTEADORA (RECTA)</t>
  </si>
  <si>
    <t>Grabadora tipo periodista o "micrograbadora"</t>
  </si>
  <si>
    <t>Audífonos pares</t>
  </si>
  <si>
    <t>FRESA PARA RUTEADORA (BISELAR)</t>
  </si>
  <si>
    <t>1.48.1.14</t>
  </si>
  <si>
    <t>1.48.1.29</t>
  </si>
  <si>
    <t>1.48.3.7</t>
  </si>
  <si>
    <t>1.37.16.22</t>
  </si>
  <si>
    <t>1.44.2.5</t>
  </si>
  <si>
    <t>1.40.1.13</t>
  </si>
  <si>
    <t>1.54.3.4</t>
  </si>
  <si>
    <t>1.44.6.1</t>
  </si>
  <si>
    <t>1.44.3.1</t>
  </si>
  <si>
    <t>1.44.3.3</t>
  </si>
  <si>
    <t>1.30.2.1</t>
  </si>
  <si>
    <t>1.30.1</t>
  </si>
  <si>
    <t>1.19.3.14</t>
  </si>
  <si>
    <t>1.30.1.9</t>
  </si>
  <si>
    <t>1.31.1.10</t>
  </si>
  <si>
    <t>1.29.1.5</t>
  </si>
  <si>
    <t>1.14.4.5</t>
  </si>
  <si>
    <t>1.14.1.2</t>
  </si>
  <si>
    <t>1.57.2.10</t>
  </si>
  <si>
    <t>1.30.1.15</t>
  </si>
  <si>
    <t>1.57.2.9</t>
  </si>
  <si>
    <t>1.30.1.22</t>
  </si>
  <si>
    <t>1.30.1.6</t>
  </si>
  <si>
    <t>PUNTEROS CINCEL 12"</t>
  </si>
  <si>
    <t>1.49.2.11</t>
  </si>
  <si>
    <t>1.55.1.1</t>
  </si>
  <si>
    <t>1.48.1.6</t>
  </si>
  <si>
    <t>1.39.12.6</t>
  </si>
  <si>
    <t>1.39.6.2</t>
  </si>
  <si>
    <t>Certificados de Ingresos y Retenciones de pagos laborales, año 2004, Ref. 1094AF. (Unidad de empaque 250)</t>
  </si>
  <si>
    <t>Transformador, estabilizador o regulador</t>
  </si>
  <si>
    <t>1.22.1.1</t>
  </si>
  <si>
    <t xml:space="preserve">FRESA CORRIENTE </t>
  </si>
  <si>
    <t>FRESA PARA RUTEADORA (moldear)</t>
  </si>
  <si>
    <t>CHINCHETAS DE 1/2 (x cajas).</t>
  </si>
  <si>
    <t>CAZUELAS VARIOS TAMAÑOS</t>
  </si>
  <si>
    <t>GASOLINA (X galones).- *</t>
  </si>
  <si>
    <t xml:space="preserve">LIMA PLANA GRANDE. </t>
  </si>
  <si>
    <t>BOTONES MADERA</t>
  </si>
  <si>
    <t>BISAGRAS PARA GABINETE</t>
  </si>
  <si>
    <t>PEGANTE BOXER galon de 225 Grms</t>
  </si>
  <si>
    <t>Pintura Goldtoner (x  goles)</t>
  </si>
  <si>
    <t>CORDOBAN ( x metros)</t>
  </si>
  <si>
    <t xml:space="preserve">BOTONES TRANSPARENTES </t>
  </si>
  <si>
    <t>BOTONES BLANCOS</t>
  </si>
  <si>
    <t>BISAGRA 2" 1/2x 2" 1/2(caja)</t>
  </si>
  <si>
    <t xml:space="preserve">ESCRITORIOS SECRETARIALES medio servicio Ref; 801A de 1.23 0.60 x 0.74 aprox. </t>
  </si>
  <si>
    <t>PINTURA TIPO 1 VINILO</t>
  </si>
  <si>
    <t>imprevistos</t>
  </si>
  <si>
    <t>IMPREVISTOS</t>
  </si>
  <si>
    <t>NIPLE GALVANIZADO DE 1/2 X 15 cm</t>
  </si>
  <si>
    <t>NIPLE GALVANIZADO DE 1/2 X 20 cm</t>
  </si>
  <si>
    <t>NIPLE GALVANIZADO DE 1/2 X 25 cm</t>
  </si>
  <si>
    <t>NIPLE GALVANIZADO DE 1/2 X 30 cm</t>
  </si>
  <si>
    <t>NIPLE GALVANIZADO DE 1/2 X 35 cm</t>
  </si>
  <si>
    <t>NIPLE GALVANIZADO DE 1/2 X 40 cm</t>
  </si>
  <si>
    <t>NIPLE GALVANIZADO DE 1/2 X 45 cm</t>
  </si>
  <si>
    <t>NIPLE GALVANIZADO DE 1/2 X 50 cm</t>
  </si>
  <si>
    <t>NIPLE GALVANIZADO DE 1/2 X 55 cm</t>
  </si>
  <si>
    <t>NIPLE GALVANIZADO DE 1/2 X 60 cm</t>
  </si>
  <si>
    <t xml:space="preserve">NIPLE TIPO BARRILITO DE 1/2 PULGADA </t>
  </si>
  <si>
    <t>NIPLE GALVANIZADO DE 1" X 10 cm</t>
  </si>
  <si>
    <t>NIPLE GALVANIZADO DE 1" X 15 cm</t>
  </si>
  <si>
    <t>NIPLE GALVANIZADO DE 1" X 20 cm</t>
  </si>
  <si>
    <t>NIPLE GALVANIZADO DE 1" X 25 cm</t>
  </si>
  <si>
    <t xml:space="preserve">Cassettes de video de (60') </t>
  </si>
  <si>
    <t>CAJA</t>
  </si>
  <si>
    <t>LIMPIADOR PVC 1/16 DE GALON</t>
  </si>
  <si>
    <t>LIMPIADOR REM CPVC 1/16 DE GALON</t>
  </si>
  <si>
    <t>PEGADIT INSTANTANEO X  FRASCO PEQUEÑO</t>
  </si>
  <si>
    <t>PEGANTE COLBON MADERA 1/4 DE GALON</t>
  </si>
  <si>
    <t xml:space="preserve">Caratulas plastificadas en colores </t>
  </si>
  <si>
    <t>Formulario vehiculos cundinamarca</t>
  </si>
  <si>
    <r>
      <t>Caratula para expedientes</t>
    </r>
    <r>
      <rPr>
        <sz val="8"/>
        <color indexed="8"/>
        <rFont val="Arial"/>
        <family val="2"/>
      </rPr>
      <t xml:space="preserve"> "RESMA"</t>
    </r>
  </si>
  <si>
    <t>Papel de Segurida con marca de agua</t>
  </si>
  <si>
    <t xml:space="preserve">Película Para Fax Panasonic Ref.: Kxfa - 136A  </t>
  </si>
  <si>
    <t>Toner Para Impresora Hewlett Packard Laser Jet 1200  Ref: C7115X</t>
  </si>
  <si>
    <t>Toner Para Impresora Lexmark T 520 Ref:12a6835 (para 25.000 copias)</t>
  </si>
  <si>
    <t>Rollo receptor truncard</t>
  </si>
  <si>
    <t>Sujetadores (triton)</t>
  </si>
  <si>
    <t>Toner Para fax Panasonic PFQT_1772</t>
  </si>
  <si>
    <t>Archivador   rodante Mecanico</t>
  </si>
  <si>
    <t>SOLDADURA CPVC X 1/16 DE GALON</t>
  </si>
  <si>
    <t>SOLDADURA PARA RESANAR TEJAS SOLDANIT</t>
  </si>
  <si>
    <t>SOLDADURA ELECTRICA WEST ARCO DE 1/8"</t>
  </si>
  <si>
    <t>SUPERBONDER INSTANTANEO X TUBO PEQUEÑO</t>
  </si>
  <si>
    <t>NIPLE GALVANIZADO DE 1" X 30 cm</t>
  </si>
  <si>
    <t>NIPLE GALVANIZADO DE 1" X 35 cm</t>
  </si>
  <si>
    <t>NIPLE GALVANIZADO DE 1" X 40 cm</t>
  </si>
  <si>
    <t xml:space="preserve">NIPLE TIPO BARRILITO DE 1" PULGADA </t>
  </si>
  <si>
    <t>NIPLE GALVANIZADO DE 1 1/2 X 90 cm</t>
  </si>
  <si>
    <t>NIPLE GALVANIZADO DE 1 1/2 X 100 cm</t>
  </si>
  <si>
    <t>REDUCCION DE 1 1/2 X 1"</t>
  </si>
  <si>
    <t>REDUCCION DE 1  1/2 X 1/2"</t>
  </si>
  <si>
    <t>REDUCCION DE  1 X 1/2"</t>
  </si>
  <si>
    <t>TAPON COPA GALVANIZADO DE 1/2"</t>
  </si>
  <si>
    <t>TAPON COPA GALVANIZADO DE 1"</t>
  </si>
  <si>
    <t>TEE DE 1/2 "</t>
  </si>
  <si>
    <t>TEE DE 1"</t>
  </si>
  <si>
    <t>TEE DE 1 1/2"</t>
  </si>
  <si>
    <t>UNION DE 1 1/2"</t>
  </si>
  <si>
    <t>UNION DE 1"</t>
  </si>
  <si>
    <t>UNION DE 1/2"</t>
  </si>
  <si>
    <t>ADAPTADORES MACHO DE 1/2" PVC</t>
  </si>
  <si>
    <t>ADAPTADORES MACHO DE 3/4" PVC</t>
  </si>
  <si>
    <t>BUJES DE 3/4" X 1" PVC PRESION</t>
  </si>
  <si>
    <t>BUJES DE 2" X 1 1/2" PVC SANITARIO</t>
  </si>
  <si>
    <t>BUJES DE 4" X 2" PVC SANITARIO</t>
  </si>
  <si>
    <t>CODOS A 90 GRADOS DE 1/2" PVC PRESION</t>
  </si>
  <si>
    <t>CODOS A 90 GRADOS DE 3/4" PVC PRESION</t>
  </si>
  <si>
    <t>CODOS A 90 GRADOS DE 1" PVC PRESION</t>
  </si>
  <si>
    <t>CODOS A 90 GRADOS DE 1 1/2" PVC PRESION</t>
  </si>
  <si>
    <t>CODOS A 45 GRADOS DE 1/2" PVC PRESION</t>
  </si>
  <si>
    <t>CODOS A 45 GRADOS DE 3/4" PVC PRESION</t>
  </si>
  <si>
    <t>CODOS A 90 GRADOS DE  2" C X C PVC SANITARIO</t>
  </si>
  <si>
    <t>CODOS A 90 GRADOS DE 3" C X C PVC  SANITARIO</t>
  </si>
  <si>
    <t>CODOS A 90 GRADOS DE 4" C X C PVC SANITARIO</t>
  </si>
  <si>
    <t>CODOS A 90 GRADOS DE  2" C X E PVC SANITARIO</t>
  </si>
  <si>
    <t>CODOS A 90 GRADOS DE 3" C X E PVC  SANITARIO</t>
  </si>
  <si>
    <t>CODOS A 90 GRADOS DE 4" C X E PVC SANITARIO</t>
  </si>
  <si>
    <t>CODOS A 45 GRADOS DE 3" C X C PVC  SANITARIO</t>
  </si>
  <si>
    <t>CODOS A 45 GRADOS DE 4" C X C PVC SANITARIO</t>
  </si>
  <si>
    <t>CODOS A 45 GRADOS DE  2" C X E PVC SANITARIO</t>
  </si>
  <si>
    <t>CODOS A 45 GRADOS DE 3" C X E PVC  SANITARIO</t>
  </si>
  <si>
    <t>CODOS A 45 GRADOS DE 4" C X E PVC SANITARIO</t>
  </si>
  <si>
    <t>CODOS REVENTILADOS DE  4 " PVC</t>
  </si>
  <si>
    <t>JUNTA DE EXPANSION DE 6" PVC SANITARIO</t>
  </si>
  <si>
    <t>SIFON DE 2" PVC SANITARIO  PAVCO</t>
  </si>
  <si>
    <t>SIFON DE 3" PVC SANITARIO  PAVCO</t>
  </si>
  <si>
    <t>TAPON PVC 4 " SANITARIO</t>
  </si>
  <si>
    <t>RGIONAL DE  VAUPES</t>
  </si>
  <si>
    <t>Telefono Avantel</t>
  </si>
  <si>
    <r>
      <t xml:space="preserve">Control de Acceso a Funcionarios </t>
    </r>
    <r>
      <rPr>
        <b/>
        <sz val="12"/>
        <rFont val="Arial"/>
        <family val="2"/>
      </rPr>
      <t>"molinete"</t>
    </r>
  </si>
  <si>
    <t>Unidad</t>
  </si>
  <si>
    <t>TAPON PVC 1/2 " PRESION</t>
  </si>
  <si>
    <t>TAPON PVC 3/4" PRESION</t>
  </si>
  <si>
    <t>TEE AGUA CALIENTE CPVC 1/2"</t>
  </si>
  <si>
    <t>NEVERA</t>
  </si>
  <si>
    <t>Reproductor de DVD</t>
  </si>
  <si>
    <t>TEE AGUA CALIENTE CPVC 3/4"</t>
  </si>
  <si>
    <t xml:space="preserve">TEE  HIDRAULICA  1/2" PVC PRESION </t>
  </si>
  <si>
    <t>TEE HIDRAULICA 1" PVC PRESION</t>
  </si>
  <si>
    <t>TEE PVC SANITARIA DE 2 "</t>
  </si>
  <si>
    <t>TEE PVC SANITARIA DE 4 "</t>
  </si>
  <si>
    <t>TUBO DE AGUA CALIENTE DE 3/4"  CPVC</t>
  </si>
  <si>
    <t>TUBO HIDRAULICO DE 1/2" PVC PRESION</t>
  </si>
  <si>
    <t>TUBO HIDRAULICO DE 1" PVC PRESION</t>
  </si>
  <si>
    <t>TUBO SANITARIO DE 2 " PVC</t>
  </si>
  <si>
    <t>TUBO SANITARIO DE 3 " PVC</t>
  </si>
  <si>
    <t>TUBO SANITARIO DE 4" PVC</t>
  </si>
  <si>
    <t>UNION DE 1/2 " PVC PRESION</t>
  </si>
  <si>
    <t>UNION DE 1" PVC PRESION</t>
  </si>
  <si>
    <t>Rodrigo León V.</t>
  </si>
  <si>
    <t>OTROS GASTOS GENERALES POR ADQUISICION DE BIENES</t>
  </si>
  <si>
    <t>Camara de Video  AG-DVX 100 AP  "prensa"</t>
  </si>
  <si>
    <t xml:space="preserve">Cámara fotográfica Digital </t>
  </si>
  <si>
    <t>Kit de lamparas LOEWL</t>
  </si>
  <si>
    <t>Un Trípode  Accesorios y Maletín</t>
  </si>
  <si>
    <t>Prensa (1)</t>
  </si>
  <si>
    <t>UNION SANITARIA DE 2" PVC</t>
  </si>
  <si>
    <t>UNION SANITARIA DE 4" PVC</t>
  </si>
  <si>
    <t>LLANAS METALICAS DENTADAS No.8</t>
  </si>
  <si>
    <t>LLANAS METALICAS DENTADAS No.10</t>
  </si>
  <si>
    <t>LLANAS METALICAS LISAS No.5</t>
  </si>
  <si>
    <t>LLANAS METALICAS LISAS No.6</t>
  </si>
  <si>
    <t>LLANAS METALICAS LISAS No.8</t>
  </si>
  <si>
    <t>LLANAS METALICAS LISAS No.10</t>
  </si>
  <si>
    <t xml:space="preserve">POMAS EN PASTA PARA MEZCLADOR </t>
  </si>
  <si>
    <t xml:space="preserve">Tambores  para lmpresoras Hewlett Packard 9500 </t>
  </si>
  <si>
    <t xml:space="preserve">POMAS EN PORCELANA  PARA MEZCLADOR </t>
  </si>
  <si>
    <t>REGISTRO DE BOLA DE 1/2"</t>
  </si>
  <si>
    <t>1.52.1.48.10</t>
  </si>
  <si>
    <t>1.52.1.48.23</t>
  </si>
  <si>
    <t>1.52.1.61</t>
  </si>
  <si>
    <t>1.52.3.8</t>
  </si>
  <si>
    <t>1.52.1.9.1</t>
  </si>
  <si>
    <t>1.52.1.70</t>
  </si>
  <si>
    <t>1.47.1.75</t>
  </si>
  <si>
    <t>1.52.1.75</t>
  </si>
  <si>
    <t>1.59.3.6</t>
  </si>
  <si>
    <t>1.56.2.1</t>
  </si>
  <si>
    <t>1.56.3.6</t>
  </si>
  <si>
    <t>1.61.2.7</t>
  </si>
  <si>
    <t>1.56.3.33</t>
  </si>
  <si>
    <t>1.59.1.6</t>
  </si>
  <si>
    <t>1.61.4.4</t>
  </si>
  <si>
    <t>1.49.4.1</t>
  </si>
  <si>
    <t>1.64.5.1</t>
  </si>
  <si>
    <t>1.64.11.3</t>
  </si>
  <si>
    <t>1.64.11.1.1</t>
  </si>
  <si>
    <t>1.50.3.8</t>
  </si>
  <si>
    <t>1.50.4.15</t>
  </si>
  <si>
    <t>1.50.3.14</t>
  </si>
  <si>
    <t>1.50.4.24</t>
  </si>
  <si>
    <t>1.27.3.25</t>
  </si>
  <si>
    <t>1.25.1.28</t>
  </si>
  <si>
    <t>1.68.1.4</t>
  </si>
  <si>
    <t>1.35.5.12</t>
  </si>
  <si>
    <t xml:space="preserve">Anclaje </t>
  </si>
  <si>
    <t>1.68.8.1</t>
  </si>
  <si>
    <t>1.68.8.2</t>
  </si>
  <si>
    <t>1.35.7.2</t>
  </si>
  <si>
    <t>REGISTRO DE BOLA DE 3/4"</t>
  </si>
  <si>
    <t>REGISTRO DE BOLA DE  1"</t>
  </si>
  <si>
    <t>REGISTRO DE BOLA DE 1 1/2"</t>
  </si>
  <si>
    <t>REGISTRO PARA ORINAL DE  1/2"</t>
  </si>
  <si>
    <t>SERVICIO DE FOTOCOPIAS</t>
  </si>
  <si>
    <t xml:space="preserve">Video Beam </t>
  </si>
  <si>
    <t>Telon para Video Beam</t>
  </si>
  <si>
    <t>1.52.1.1.1</t>
  </si>
  <si>
    <t>Acetatos para impresora inkjet, tamañocarta por 1, con banda</t>
  </si>
  <si>
    <t>TAPA REGISTRO 20 X 20 PVC  BLANCA</t>
  </si>
  <si>
    <t>Silla ergonómica giratoria tipo gerente. Tres cojines, asiento y espaldar unido alto, abullonada en espuma de alta densidad, tapizada en cuero, color a elegir, conjunto neumático y base de cinco aspas, con rodachines en nylón de doble carrete</t>
  </si>
  <si>
    <t>Silla ergonómica giratoria, con rodachines, espaldar y brazos ajustables, neumática, tapizada en paño contacto permanente -tipo ejecutivo- para uso de video terminales</t>
  </si>
  <si>
    <t>Silla fija con brazos tapizada en paño estructura en tubo de acero redondo calibre 18 de una (1") como mínimo, con pintura electrostática en polvo horneado color negro -tipo Interlocutora</t>
  </si>
  <si>
    <t>Escritorio ejecutivo 2 gavetas de 1.75 x 0.74 mtrs. Fabricado en madera moho y tablex, pintado en color rojo inglés bades en cuero, patas torneadas y buen  acabado  final.</t>
  </si>
  <si>
    <t>Archivadores en madera 4 gavetas, fabricados en madera moho y triplex de primera calidad, gavetas con rieles metálicos con rodamientos esferados, cierre general provisto de cerradura, terminación en sellador lijable y laca semi-mate color rojo inglés, med</t>
  </si>
  <si>
    <t xml:space="preserve">Sala de recepción, compuesta de: Un (01) sofá de dos puestos, una (01) poltrona y una mesa de centro. Sillas: estructura en madera, resortada, abullonada en caucho espuma, tapizada en cuerina, color a elegir. Mesa de Centro: fabricada en madera y triplex </t>
  </si>
  <si>
    <t>Mesa para computador  persona diestra con minitorre y portateclado  corredizo con espacio para el mouse, de 1.20x0.60 madera moho acabado color rojo inglés.</t>
  </si>
  <si>
    <t xml:space="preserve">Mesa de Juntas Rectangular. Medidas: 1.80 x 0.80, la superficie en madera aglomerada (tablex) de 30 mm. enchapada en chapilla de cedro cara superior y bordes laterales, base o patas en tubería  Cold Rolled calibre 20 o superior, de 1 ½” x 1 ½” de sección </t>
  </si>
  <si>
    <t>Descansa muñecas en gel, para acondicionar al portateclado. Medidas entre 45 y 55 cm de largo, 9 a 11 cm. De ancho y 2 a 3 cm. De alto.</t>
  </si>
  <si>
    <t>1.52.2.8</t>
  </si>
  <si>
    <t>Descansapies completamente ajustable el ángulo de inclinación. Altura del descansapies ajustable. Superficie antideslizante. Material plástico o fibra de vidrio, madera o metal o estos materiales combinados entre sí. Dimensiones: 46.5 cm. X 30 cm</t>
  </si>
  <si>
    <t>Portadocumentos para tamaño carta y oficio, brazo en pasta plástica, con regleta guía, debe permitir ajustar su altura, para quedar a la misma altura y distancia de la pantalla, debe ser en tonos opacos</t>
  </si>
  <si>
    <t>1.52.1.66</t>
  </si>
  <si>
    <t>Basureras para piso en madera moho y triplex. Medidas altura aproximada de 32 cms x 26 x 25. Pintura color rojo inglés.</t>
  </si>
  <si>
    <t>Perchero de pie en madera moho, base de cuatro (04) aspas, con cuatro (04) ganchos, medidas: altura entre mayor a 1,20 y menor a 1,80 mtrs., pintura rojo inglés</t>
  </si>
  <si>
    <t>VALVULA DESAGUE LAVAMANOS</t>
  </si>
  <si>
    <t>ESPEJO CRISTAL CLARO DE 4mm</t>
  </si>
  <si>
    <t>ESPEJO NACIONAL DE 4mm</t>
  </si>
  <si>
    <t>ESPEJO BICELADO DE 4 mm.</t>
  </si>
  <si>
    <t>VIDRIO ACANALADO DE 4 mm</t>
  </si>
  <si>
    <t>VIDRIO BRONCE DE 4 mm</t>
  </si>
  <si>
    <t>VIDRIO BRONCE DE 5 mm</t>
  </si>
  <si>
    <t>VIDRIO INCOLORO DE 4 mm</t>
  </si>
  <si>
    <t>VIDRIO INCOLORO DE 5 mm</t>
  </si>
  <si>
    <t>VIDRIO ESMERILADO DE 4mm</t>
  </si>
  <si>
    <t>Toner Para Impresora Hewlett Packard 9500 Laser Ref : 8552A</t>
  </si>
  <si>
    <t>Toner Para Impresora Hewlett Packard 9500 Laser Ref : 8553A</t>
  </si>
  <si>
    <t>Toner Para Impresora Hewlett Packard 9500 Laser Ref: 8550A</t>
  </si>
  <si>
    <t>Toner Para Impresora Hewlett Packard 9500 Laser Ref:  8551A</t>
  </si>
  <si>
    <r>
      <t xml:space="preserve">Quick de limpieza para impresora Hewlett Packard 9500 ref C8554A  </t>
    </r>
    <r>
      <rPr>
        <sz val="11"/>
        <color indexed="22"/>
        <rFont val="Arial"/>
        <family val="2"/>
      </rPr>
      <t>(9) impresoras</t>
    </r>
  </si>
  <si>
    <t>Elementos requeridos ANTES de 1a entrega licitación de útilesY DESPUES</t>
  </si>
  <si>
    <t>VIDRIO SAMBLASTING DE 4mm</t>
  </si>
  <si>
    <t>VIDRIO TEMPLADO DE 4mm</t>
  </si>
  <si>
    <t>VIDRIO TEMPLADO DE bronce</t>
  </si>
  <si>
    <t>U. / MEDIDA</t>
  </si>
  <si>
    <t xml:space="preserve">Micro hot y Pacht Cord de 10  Pines  </t>
  </si>
  <si>
    <t>CANDITAD</t>
  </si>
  <si>
    <t>ADQUISICION DE BIENES</t>
  </si>
  <si>
    <t>U/ MEDIDA</t>
  </si>
  <si>
    <t>CANTIDAD</t>
  </si>
  <si>
    <t>V/ UNITARIO</t>
  </si>
  <si>
    <t>VALOR  TOTAL</t>
  </si>
  <si>
    <t>Toner Para Impresora Hewlett Packard Desk 940c Ref: C 6615 D Negro</t>
  </si>
  <si>
    <t>Cordoban Color Rojo</t>
  </si>
  <si>
    <t>Meplex en guayacan  de 24x32 Rollo</t>
  </si>
  <si>
    <t>Lima plana de 10" nicholson</t>
  </si>
  <si>
    <t>Botones color madera</t>
  </si>
  <si>
    <t>Botones en acrilico transparente</t>
  </si>
  <si>
    <t>Botones en acrilico para sofas</t>
  </si>
  <si>
    <t>Adquisición de Bienes</t>
  </si>
  <si>
    <t>Compra de Equipo</t>
  </si>
  <si>
    <t>Vehículos y equipos de transporte</t>
  </si>
  <si>
    <t>Otros equipos de comunicaciones</t>
  </si>
  <si>
    <t>Fax</t>
  </si>
  <si>
    <t>c/u</t>
  </si>
  <si>
    <t>Radio portátil</t>
  </si>
  <si>
    <t>Subtototal</t>
  </si>
  <si>
    <t>Equipo de sistemas</t>
  </si>
  <si>
    <t>Estufa</t>
  </si>
  <si>
    <t>Greca</t>
  </si>
  <si>
    <t>Termo</t>
  </si>
  <si>
    <t>C/U</t>
  </si>
  <si>
    <t>Equipo y máquinas de oficina</t>
  </si>
  <si>
    <t>EQUIPO DE SISTEMAS</t>
  </si>
  <si>
    <t>Mantenimiento Equipo de transporte</t>
  </si>
  <si>
    <t>TOTAL GASTOS GENERALES NIVEL CENTRAL</t>
  </si>
  <si>
    <t>1.50.1.8</t>
  </si>
  <si>
    <t>1.50.1.40</t>
  </si>
  <si>
    <t>1.21.2.1</t>
  </si>
  <si>
    <t>1.52.2.27</t>
  </si>
  <si>
    <t>1.52.2.26</t>
  </si>
  <si>
    <t>1.51.2.1</t>
  </si>
  <si>
    <t>1.52.2.20</t>
  </si>
  <si>
    <t>1.52.2.22.151</t>
  </si>
  <si>
    <t>1.52.2.22.1</t>
  </si>
  <si>
    <t>1.52.2.27.1</t>
  </si>
  <si>
    <t>1.52.2.28</t>
  </si>
  <si>
    <t>1.52.2.32</t>
  </si>
  <si>
    <t>Caja para archivo REF:C-6K DE 39 CMS FONDO X 26CMS ALTO 21 CMS ANCHO</t>
  </si>
  <si>
    <t>LLANTAS 185/70/14</t>
  </si>
  <si>
    <t>LLANTAS 225/75/15</t>
  </si>
  <si>
    <t>LLANTAS 225/70/16</t>
  </si>
  <si>
    <t>LLANTAS LT 235/75 R15</t>
  </si>
  <si>
    <t>LLANTAS LT 245/75 R16</t>
  </si>
  <si>
    <t>LLANTAS TD 230 55 R390 BLINDADA</t>
  </si>
  <si>
    <t>TORNILLO PARA ESTANTERIA</t>
  </si>
  <si>
    <t>Transformadores electronicos halogenos de 120x12wx50w</t>
  </si>
  <si>
    <t>Braker de 1x30 Am ENCHUFABLE</t>
  </si>
  <si>
    <t>Braker de 1x40 Am enchufable</t>
  </si>
  <si>
    <t>Braker de 3x60 Am Enchufable</t>
  </si>
  <si>
    <t>Pegante Liquido para   (tarro en Presentacion de 225 a 260 GRs)</t>
  </si>
  <si>
    <t>Libretas de orden de trabajo y pedido  tamaño 21.5X33, tinta 1x0 papel químico blanco</t>
  </si>
  <si>
    <t>Formas Contínuas 8 1/2 X 11 A 1 Parte rayado</t>
  </si>
  <si>
    <t>Caja para embalaje  DE 50 x 50 x 60</t>
  </si>
  <si>
    <t>MUNICION</t>
  </si>
  <si>
    <t xml:space="preserve">ADQUISICION DE SERVICIOS </t>
  </si>
  <si>
    <t xml:space="preserve">PROCURADURIA GENERAL </t>
  </si>
  <si>
    <t>Rodrigo L</t>
  </si>
  <si>
    <t>Carpeta celuguía oficio celuguia tamaño oficio</t>
  </si>
  <si>
    <t>Carpeta Colgante Azul-Agrippa  Estándar oficio de 23 a 25 cms de ancho y 35 a 37 cms</t>
  </si>
  <si>
    <t xml:space="preserve">Cinta Para Impresora Panasonic Kx - P3196 (kxp-191) </t>
  </si>
  <si>
    <t xml:space="preserve">Corrector Liquido Frasco de presentación  X 30 Y 40  Gms </t>
  </si>
  <si>
    <t>Ganchos Legajadores Plasticos  caja x 20 juegos</t>
  </si>
  <si>
    <t>Película Para Fax Panasonic Ref.: Kxfa - 65  rollo de 200 mtrs</t>
  </si>
  <si>
    <t>Papel Termico Para Fax  DE 216mm rollo x 30 Mts</t>
  </si>
  <si>
    <t>Almohadilla</t>
  </si>
  <si>
    <t>Calculadora</t>
  </si>
  <si>
    <t>Cosedora semi - industrial</t>
  </si>
  <si>
    <t>Cosedora estándar</t>
  </si>
  <si>
    <t>Máquina de escribir electrónica (deducibles siniestros)</t>
  </si>
  <si>
    <t>Numerador automático</t>
  </si>
  <si>
    <t>Perforadora semi - industrial</t>
  </si>
  <si>
    <t>Perforadora estándar</t>
  </si>
  <si>
    <t>Sello seco</t>
  </si>
  <si>
    <t>Tajalápiz eléctrico</t>
  </si>
  <si>
    <t>Subtotal</t>
  </si>
  <si>
    <t>Mobiliario y Enseres</t>
  </si>
  <si>
    <t>Biblioteca</t>
  </si>
  <si>
    <t>Cubrealfombra</t>
  </si>
  <si>
    <t xml:space="preserve">Sillas estructura en tuberia de acero redondo diametro 25.4x 2 mm acabado en linea pintura electrotastica como  </t>
  </si>
  <si>
    <t>Sillas en madera moho, sin brazos, suavizada en caucho espuma de alta densidad</t>
  </si>
  <si>
    <t>Mesa para teléfono</t>
  </si>
  <si>
    <t>Organizador Cableado Horizontal</t>
  </si>
  <si>
    <t>subtotal</t>
  </si>
  <si>
    <t>Audiovisuales y accesorios</t>
  </si>
  <si>
    <t>Audífonos para dictáfono</t>
  </si>
  <si>
    <t>Herramientas</t>
  </si>
  <si>
    <t>Caja con herramientas para vehículo</t>
  </si>
  <si>
    <t>Pulidora y otras herramientas</t>
  </si>
  <si>
    <t>Otras Compras de Equipos</t>
  </si>
  <si>
    <t>Alfombra</t>
  </si>
  <si>
    <t>m2</t>
  </si>
  <si>
    <t>Persianas</t>
  </si>
  <si>
    <t>MTS</t>
  </si>
  <si>
    <t>Vidrio para  escritorio</t>
  </si>
  <si>
    <t>1.60.3</t>
  </si>
  <si>
    <t>Dotaciones</t>
  </si>
  <si>
    <t>Blusas delantales</t>
  </si>
  <si>
    <t>Botas</t>
  </si>
  <si>
    <t>Par</t>
  </si>
  <si>
    <t>Camisa corbata</t>
  </si>
  <si>
    <t>Conjunto en jean</t>
  </si>
  <si>
    <t>Guantes industriales</t>
  </si>
  <si>
    <t>EQUIPOS Y MAQUINAS DE OFICINA</t>
  </si>
  <si>
    <t xml:space="preserve">Aire acondicionado  </t>
  </si>
  <si>
    <t>LLANTAS Y ACCESORIOS</t>
  </si>
  <si>
    <t>PAPELERIA Y UTILES DE ESCRITORIO Y DE OFICINA</t>
  </si>
  <si>
    <t>TOTAL</t>
  </si>
  <si>
    <t>Esponja multiusos fibra y espuma  o  paño adsorbente</t>
  </si>
  <si>
    <t>Unid</t>
  </si>
  <si>
    <t>FLUXOMETRO UNILOC 5 M / Y 835-CME</t>
  </si>
  <si>
    <t>Respiradores</t>
  </si>
  <si>
    <t>Uniforme con cintura para servicios</t>
  </si>
  <si>
    <t>Vestido en paño para caballero</t>
  </si>
  <si>
    <t>Vestido para dama</t>
  </si>
  <si>
    <t>Combustibles y lubricantes</t>
  </si>
  <si>
    <t>Galón</t>
  </si>
  <si>
    <t>ACPM</t>
  </si>
  <si>
    <t>Papelería, útiles de escritorio y oficina</t>
  </si>
  <si>
    <t>Acetatos para fotocopiadora</t>
  </si>
  <si>
    <t>CJA</t>
  </si>
  <si>
    <t>Acetatos para impresora tipo láser (tamaño carta)</t>
  </si>
  <si>
    <t>Bolsas Plásticas Transparentes  Calibre  5  De 60 X 70 Cms</t>
  </si>
  <si>
    <t xml:space="preserve"> C/U </t>
  </si>
  <si>
    <t xml:space="preserve">Borrador De Nata  Ref: Pz-20 </t>
  </si>
  <si>
    <t>Borrador Tipo Lapiz  Ref. De Escobilla</t>
  </si>
  <si>
    <t>Ventilador  de pie</t>
  </si>
  <si>
    <t>Pintura vitiltex galon</t>
  </si>
  <si>
    <t>SUMINISTRO E INSTALACIÓN DE UN RIEL PARA</t>
  </si>
  <si>
    <t>1.49.3</t>
  </si>
  <si>
    <t>1.57.1</t>
  </si>
  <si>
    <r>
      <t xml:space="preserve">De Dry Wall De 4.5x1,8 </t>
    </r>
    <r>
      <rPr>
        <sz val="11"/>
        <color indexed="8"/>
        <rFont val="Arial"/>
        <family val="2"/>
      </rPr>
      <t xml:space="preserve">Masillado </t>
    </r>
  </si>
  <si>
    <t>Cinta De Enmascarar  De 48x40 Mts</t>
  </si>
  <si>
    <t>RLL</t>
  </si>
  <si>
    <t>Cinta Para  Impresora Epson Lq-2070  Ref: S015086 ORIGINAL U.S.A.</t>
  </si>
  <si>
    <t>Cinta Para Impresora Epson Fx-870-880   Ref.: 8750 ORIGINAL USA</t>
  </si>
  <si>
    <t>Cinta Para Impresora Impresora Epson Fx-1050   Ref.:  8755 ORIGINAL USA</t>
  </si>
  <si>
    <t>Cinta Para Impresora Olivetti DM 209 L</t>
  </si>
  <si>
    <t>Cinta Para Maquina Brother Ax-10 Nylon  Para Panasonic Kx2020</t>
  </si>
  <si>
    <t xml:space="preserve">Cinta Para Maquina Manual  </t>
  </si>
  <si>
    <t xml:space="preserve">Cinta Para Maquina Olivetti Compact 66 Nylon </t>
  </si>
  <si>
    <t xml:space="preserve">Cinta Para Maquina Olivetti Et-1250 Nylon </t>
  </si>
  <si>
    <t>Cinta Pegante Transparente  De 12 mm X 20 mts (angosta)</t>
  </si>
  <si>
    <t>Cinta Pegante Transparente  De 48 mm X 20 mts (ancha)</t>
  </si>
  <si>
    <t>FCO</t>
  </si>
  <si>
    <t>Esferos   Azules Y Negros</t>
  </si>
  <si>
    <t>Cinta YMCK trucard Atlantek 60 m para 500 imaguenes</t>
  </si>
  <si>
    <t xml:space="preserve">Receceptor  transparente  trucard </t>
  </si>
  <si>
    <t>Bala Halogena Oxigeno Con Basalto Un. y Bombillo</t>
  </si>
  <si>
    <t xml:space="preserve">Legajador Az Tamaño Oficio </t>
  </si>
  <si>
    <t>Sifón en P metálicos para lavaplatos</t>
  </si>
  <si>
    <t>Sifón botella en PVC  para lavamanos</t>
  </si>
  <si>
    <t>Pote</t>
  </si>
  <si>
    <t>1.27.3.30</t>
  </si>
  <si>
    <t>1.35.5.2</t>
  </si>
  <si>
    <t>Teja plásticas Nº 8</t>
  </si>
  <si>
    <t>Teja plásticas Nº 6</t>
  </si>
  <si>
    <t>Tejas de asbesto cemento Nº 6</t>
  </si>
  <si>
    <t>Tejas de asbesto cemento Nº 4</t>
  </si>
  <si>
    <t>Rollo</t>
  </si>
  <si>
    <t>Tela de fibra de vidrio</t>
  </si>
  <si>
    <t>1.57.3.7</t>
  </si>
  <si>
    <t xml:space="preserve">Thiner </t>
  </si>
  <si>
    <t>Racor para sanitario de fluxometro con sus respectivos empaques</t>
  </si>
  <si>
    <t>Rejilla con sosco de 2x1 1/2"</t>
  </si>
  <si>
    <t>Rejilla con sosco de 3x2"</t>
  </si>
  <si>
    <t>Sanitario línea institucional</t>
  </si>
  <si>
    <t>Sellador</t>
  </si>
  <si>
    <t>Yeso La Roca o Vencedor</t>
  </si>
  <si>
    <t>1.35.1.4.1</t>
  </si>
  <si>
    <t>Chazo de 1x 1/4"</t>
  </si>
  <si>
    <t>Canastilla de 4" para lavaplatos</t>
  </si>
  <si>
    <t>Llana metálicas dentadas Nº 5</t>
  </si>
  <si>
    <t>Llana metálicas dentadas Nº 8</t>
  </si>
  <si>
    <t>Espátula de 4"</t>
  </si>
  <si>
    <t>Espátula de 3"</t>
  </si>
  <si>
    <t>Espátula de 2"</t>
  </si>
  <si>
    <t>Espátula de 1"</t>
  </si>
  <si>
    <t xml:space="preserve">Acolilladora de 10", 5500 RPM, 15A </t>
  </si>
  <si>
    <t>1.30.30.7</t>
  </si>
  <si>
    <t>Juego</t>
  </si>
  <si>
    <t>1.30.6.4</t>
  </si>
  <si>
    <t xml:space="preserve">Destornilladores de pala </t>
  </si>
  <si>
    <t xml:space="preserve">Destornilladores de estrella </t>
  </si>
  <si>
    <t>1.31.1.12</t>
  </si>
  <si>
    <t xml:space="preserve">Formon de 7/8" mango de madera </t>
  </si>
  <si>
    <t xml:space="preserve">Mandril para taladro de 1/2" x 20 hilos </t>
  </si>
  <si>
    <t>Cerradura de perilla pomo madera escudo dorado, llave-ciega</t>
  </si>
  <si>
    <t>Cerradura de perilla pomo madera escudo dorado, llave-llave</t>
  </si>
  <si>
    <t>Cerradura de ombligo para mueble de puerta corrediza</t>
  </si>
  <si>
    <t xml:space="preserve">Chapa de escritorio tipo </t>
  </si>
  <si>
    <t xml:space="preserve">Chapa de seguridad con pasador doble cuadrado </t>
  </si>
  <si>
    <t>Acople plastico para sanitario 1/2" x 3/4"</t>
  </si>
  <si>
    <t>Acople plastico para lavamanos 1/2" x 1/2"</t>
  </si>
  <si>
    <t xml:space="preserve">Nivel de aluminio de 12" de 2 gotas </t>
  </si>
  <si>
    <t>1.30.6.</t>
  </si>
  <si>
    <t xml:space="preserve">Puntas de  destornilladores de estrella x 4 piezas </t>
  </si>
  <si>
    <t xml:space="preserve">Puntas de  destornilladores de pala x 4 piezas </t>
  </si>
  <si>
    <t>1.30.2.37</t>
  </si>
  <si>
    <t xml:space="preserve">Remachadora </t>
  </si>
  <si>
    <t>Remache numero 4,6 pop</t>
  </si>
  <si>
    <t>Remache numero 6,4 pop</t>
  </si>
  <si>
    <t>1.32.5.1</t>
  </si>
  <si>
    <t>1.13.1</t>
  </si>
  <si>
    <t>Sierra circular para hueco de chapas de puertas</t>
  </si>
  <si>
    <t xml:space="preserve">Ganchos para cosedora sencilla, Gancho tipo grapa, referencia 23/10 , en alambre metálico cobrizado, por 5000 und.  </t>
  </si>
  <si>
    <t xml:space="preserve">Marcador Para Tablero Porcelanizado  "indelebles" o Marcador seco para pizarra blanca, desechable, contenido de tinta menor o igual a 2,5 g , de punta redonda acrílica, para hacer lineas de aprox. 0,4 mm , por 1 und.  </t>
  </si>
  <si>
    <t>Papel Oficio (Alta Blancura) (Resm.X500 Hjs) De 75 Grs  Papel bond, de 60 g/m2, tamaño oficio, por resma de 500 hojas, impresa a una tinta (membrete).</t>
  </si>
  <si>
    <t>Papel Carta (Alta Blancura)   De 60 Grs o Papel bond, de 60 g/m2, tamaño carta, por resma de 500 hojas, impresa a una tinta (membrete).</t>
  </si>
  <si>
    <t xml:space="preserve">Papel bond, de 75 g/m2, tamaño carta, por resma de 500 hojas, impresa a una tinta (membrete).  o  RESMILLAS HOJAS SUELTAS MEMBRETE Tama.21.5 X 28 CMS papel bond blanco  de 75 grms tintas  </t>
  </si>
  <si>
    <t xml:space="preserve">Papel bond, de 75 g/m2, tamaño carta, por resma de 500 hojas.  </t>
  </si>
  <si>
    <t xml:space="preserve">Papel bond, de 75 g/m2, tamaño oficio, por resma de 500 hojas.  </t>
  </si>
  <si>
    <t>1.52.1.56.17</t>
  </si>
  <si>
    <t>1.52.1.56.15</t>
  </si>
  <si>
    <t xml:space="preserve">Marcadores  Corrientes </t>
  </si>
  <si>
    <t>Notas Adhesivas (Tacos)  De 76x76 Mm</t>
  </si>
  <si>
    <t>Papel Carbon Tamaño Oficio  Cja x 100 Hjs</t>
  </si>
  <si>
    <t>Papel Contact  Transp.  Rollo X 1 Mts X 45 Cms</t>
  </si>
  <si>
    <t>RES</t>
  </si>
  <si>
    <t>TRR</t>
  </si>
  <si>
    <t>BRR</t>
  </si>
  <si>
    <t>Pilas  Doble AA ( X 2)  Alkalina</t>
  </si>
  <si>
    <t>PAR</t>
  </si>
  <si>
    <t>MJA</t>
  </si>
  <si>
    <t>Revelador Para Fotocopiadora Sharp  Sf-2114 Ref.: SF 214 DV</t>
  </si>
  <si>
    <t>Toner Para Impresora Epson Stylus 1500  Ref.: SO20062 (Negro)</t>
  </si>
  <si>
    <t>Toner Para Impresora Epson Stylus 1500  Ref.: SO20049 (Color)</t>
  </si>
  <si>
    <t>Toner Para Impresora Hewlett Packard Desk Jet 610c Ref: C 6614 D Negro</t>
  </si>
  <si>
    <t>Toner Para Impresora Hewlett Packard Desk Jet 610c Ref:  51649 A Color</t>
  </si>
  <si>
    <t>SOFTWARE</t>
  </si>
  <si>
    <t>CAPACITACION, BIENESTAR SOCIAL Y ESTIMULOS</t>
  </si>
  <si>
    <t xml:space="preserve">Papelera </t>
  </si>
  <si>
    <t>1.48.1.23</t>
  </si>
  <si>
    <t>1.48.1.24</t>
  </si>
  <si>
    <t>Papelografo en Acrílico</t>
  </si>
  <si>
    <t>1.48.3.5</t>
  </si>
  <si>
    <t>OTROS GASTOS POR ADQUISICION DE SERVICIOS</t>
  </si>
  <si>
    <t xml:space="preserve">Toner Para Impresora Hewlett Packard Desk Jet 890 - 880  Ref: 51645 A Negro </t>
  </si>
  <si>
    <t xml:space="preserve">Pago deducible </t>
  </si>
  <si>
    <t>SALAS MULTIVISUALES  "Proc. Dptales pitolotos"</t>
  </si>
  <si>
    <t>Gasolina para avión</t>
  </si>
  <si>
    <t>Toner Para Impresora Hewlett Packard Desk Jet 890 - 880  Ref: C 1823 D  Color</t>
  </si>
  <si>
    <t>Toner Para Impresora Hewlett Packard Laser Jet 1100  Ref:  C 4092a</t>
  </si>
  <si>
    <t>Toner Para Impresora Hewlett Packard Laser Jet 4000 Tn  Ref: C 4127 X</t>
  </si>
  <si>
    <t>Toner Para Impresora Xerox  Docuprint P - 1012  Ref: 106 R 397</t>
  </si>
  <si>
    <t>Imprevistos</t>
  </si>
  <si>
    <t>Productos de aseo y limpieza</t>
  </si>
  <si>
    <t>Ambientador</t>
  </si>
  <si>
    <t>F/CO</t>
  </si>
  <si>
    <t>Bayetilla blanca</t>
  </si>
  <si>
    <t>Metro</t>
  </si>
  <si>
    <t>Bayetilla roja</t>
  </si>
  <si>
    <t>Desinfectante</t>
  </si>
  <si>
    <t>Guantes negros tipo industrial varios calibres</t>
  </si>
  <si>
    <t>Jabón en crema para loza</t>
  </si>
  <si>
    <t>Jabón en polvo</t>
  </si>
  <si>
    <t>Jabón para manos</t>
  </si>
  <si>
    <t>Paños abrasivos para lavado de loza</t>
  </si>
  <si>
    <t>Tiras En Perfil Tubo Redondo 1/2"</t>
  </si>
  <si>
    <t>Papel higiénico doble hoja blanco</t>
  </si>
  <si>
    <t>RLLO</t>
  </si>
  <si>
    <t>Toallas desechables para secado de manos (p/te X 150 unidades)</t>
  </si>
  <si>
    <t>PQTE</t>
  </si>
  <si>
    <t>Otros productos de aseo y limplieza</t>
  </si>
  <si>
    <t>Productos de cafetería y restaurante</t>
  </si>
  <si>
    <t>Azúcar (caja X 560 cubos)</t>
  </si>
  <si>
    <t>Café molido</t>
  </si>
  <si>
    <t>Libra</t>
  </si>
  <si>
    <t>1.47.1.1</t>
  </si>
  <si>
    <t>1.30.2.</t>
  </si>
  <si>
    <t>1.50.1</t>
  </si>
  <si>
    <t>1.57.4</t>
  </si>
  <si>
    <t>1.18.8</t>
  </si>
  <si>
    <t>1.35.1.1</t>
  </si>
  <si>
    <t>1.35.4</t>
  </si>
  <si>
    <t>1.35.3</t>
  </si>
  <si>
    <t>1.70.4</t>
  </si>
  <si>
    <t>1.50.3.3</t>
  </si>
  <si>
    <t>1.37.18</t>
  </si>
  <si>
    <t>1.32.7</t>
  </si>
  <si>
    <t>1.37.1</t>
  </si>
  <si>
    <t>1.16.17</t>
  </si>
  <si>
    <t>1.38.21</t>
  </si>
  <si>
    <t>1.59.6</t>
  </si>
  <si>
    <t>2.34.1</t>
  </si>
  <si>
    <t>Pistolas</t>
  </si>
  <si>
    <t>1.47.1</t>
  </si>
  <si>
    <t>Micro casette y grabadora de 60 minutos</t>
  </si>
  <si>
    <t>Pilas Triple AAA  (X2)  Alkalina</t>
  </si>
  <si>
    <t>1.44.2.2</t>
  </si>
  <si>
    <t>DESCRIPCION</t>
  </si>
  <si>
    <t>VEHICULOS Y EQUIPO DE TRANSPORTE</t>
  </si>
  <si>
    <t>OTROS EQUIPOS DE COMUNICACIONES</t>
  </si>
  <si>
    <t>EQUIPO DE CAFETERIA</t>
  </si>
  <si>
    <t>MOBILIARIO Y ENSERES</t>
  </si>
  <si>
    <r>
      <t>NOTA 1°:</t>
    </r>
    <r>
      <rPr>
        <sz val="10"/>
        <color indexed="9"/>
        <rFont val="Arial"/>
        <family val="2"/>
      </rPr>
      <t xml:space="preserve">  LOS REQUERIMIENTOS DE LA OFICINA DE SISTEMAS POR UNA CUANTIA DE $4.069´500,000,oo SE SUGIERE SOLICITAR UNA ADICION PRESUPUESTAL</t>
    </r>
  </si>
  <si>
    <t>AUDIO VISUALES Y ACCESORIOS</t>
  </si>
  <si>
    <t>HERRAMIENTAS</t>
  </si>
  <si>
    <t>COMPRA DE EQUIPO</t>
  </si>
  <si>
    <t>DOTACIONES</t>
  </si>
  <si>
    <t>COMBUSTIBLES Y LUBRICANTES</t>
  </si>
  <si>
    <t>PRODUCTOS DE  CAFETERIA Y RESTAURANTE</t>
  </si>
  <si>
    <t>PRODUCTOS DE ASEO Y LIMPIEZA</t>
  </si>
  <si>
    <t>UTENSILIOS DE CAFETERIA</t>
  </si>
  <si>
    <t>MATERIALES DE CONSTRUCCION</t>
  </si>
  <si>
    <t>OTROS MATERIALES Y SUMINISTROS</t>
  </si>
  <si>
    <t>Aromáticas (caja X 25 sobres)</t>
  </si>
  <si>
    <t xml:space="preserve">Asiento sanitario </t>
  </si>
  <si>
    <t xml:space="preserve">Automático para lavamanos </t>
  </si>
  <si>
    <t>Baldosín 20,5x20,5 cms color blanco</t>
  </si>
  <si>
    <t>Baldosín 33,8x33,8 cms trafico pesado color blanco</t>
  </si>
  <si>
    <r>
      <t xml:space="preserve">Canaleta Metalica </t>
    </r>
    <r>
      <rPr>
        <sz val="11"/>
        <color indexed="48"/>
        <rFont val="Arial"/>
        <family val="2"/>
      </rPr>
      <t>Angulo interno variable canaleta plástica</t>
    </r>
  </si>
  <si>
    <t>Cable de cobre THHN  12 AWG verde</t>
  </si>
  <si>
    <t>Cable coaxial para antena RG-6</t>
  </si>
  <si>
    <t>Cable duplex 2 x 16</t>
  </si>
  <si>
    <t>Cable de cobre THHN/THWN 10 AWG blanco</t>
  </si>
  <si>
    <t>Cable de cobre THHN 10 AWG verde</t>
  </si>
  <si>
    <t>Cable de cobre THHN 10 AWG rojo</t>
  </si>
  <si>
    <t>Canaleta plastica 100X34</t>
  </si>
  <si>
    <t>Clavija aerea de caucho con pola a tierra</t>
  </si>
  <si>
    <t>Conector derivaciòn de autodesforre para calibre 18 a 10 AWG</t>
  </si>
  <si>
    <t>Cortacircuito termomagnetico enchufable</t>
  </si>
  <si>
    <t>1.27.7</t>
  </si>
  <si>
    <t>Te para canaleta plastica de 100x34</t>
  </si>
  <si>
    <t>Te para cable coaxial antena T.V</t>
  </si>
  <si>
    <t>Toma monofásica aérea polo a tierra</t>
  </si>
  <si>
    <t>Toma doble sobreponer polo a tierra</t>
  </si>
  <si>
    <t>Toma doble monofásica tipo hosp.</t>
  </si>
  <si>
    <t xml:space="preserve">Pintura   Vinilo tipo I  </t>
  </si>
  <si>
    <t>Unión para canaleta plástica de 100X34 DLP, con dos divisiones.</t>
  </si>
  <si>
    <t>Unión para cable coaxial de antena de TV.</t>
  </si>
  <si>
    <t>Tornillo G-88, 6x25mm, rosca fina con arandela</t>
  </si>
  <si>
    <t>Tornillo estrella 3/16 x 1</t>
  </si>
  <si>
    <t>Utensilios de cafetería</t>
  </si>
  <si>
    <t>Cuchara plástica para tinto (en paquete X 100 unidades)</t>
  </si>
  <si>
    <t>ajustar precio</t>
  </si>
  <si>
    <t>Juego de pocillo y plato para tinto (en porcelana)</t>
  </si>
  <si>
    <t>JGO</t>
  </si>
  <si>
    <t>Juego de pocillo y plato para tinto (desechable)</t>
  </si>
  <si>
    <t>Filtro con capacidad 1 libra para greca</t>
  </si>
  <si>
    <t>Jarra en vidrio</t>
  </si>
  <si>
    <t>Vaso cristal</t>
  </si>
  <si>
    <t>Vaso vidrio liso (docena)</t>
  </si>
  <si>
    <t>Vaso plástico cafetero (paquete X 50 unidades)</t>
  </si>
  <si>
    <t>Llantas y accesorios</t>
  </si>
  <si>
    <t>Neumáticos</t>
  </si>
  <si>
    <t>Materiales de construcción</t>
  </si>
  <si>
    <t>Acople Aluminio Sencillo</t>
  </si>
  <si>
    <t xml:space="preserve">Adhesivo </t>
  </si>
  <si>
    <t>GLN</t>
  </si>
  <si>
    <t xml:space="preserve">Alambre Thw No. 12 </t>
  </si>
  <si>
    <t>Alambre Thw No. 14</t>
  </si>
  <si>
    <t>Alambre Thw No.12 Centelsa Blanco</t>
  </si>
  <si>
    <t>Alambre Thw No.14 Centelsa Negro</t>
  </si>
  <si>
    <t>Anclaje De 2 Mariposa Plastico</t>
  </si>
  <si>
    <t>CHINCHES (CAJAS)</t>
  </si>
  <si>
    <t>Anclaje Hild 1/2 De Camisa X 2 1/4</t>
  </si>
  <si>
    <t>Anclaje Hild 3/8 Ref.Hlc 3/8x1.7/8</t>
  </si>
  <si>
    <t>Anclaje Hps  1/2 De Camisa  X 2 1/4</t>
  </si>
  <si>
    <t xml:space="preserve">Anclaje Hps 1 5/8x5/16 De Camisa </t>
  </si>
  <si>
    <t>Bisagras De 3"</t>
  </si>
  <si>
    <t>Cable Coaxial Ref.Rg-59mb</t>
  </si>
  <si>
    <t>Multitomas</t>
  </si>
  <si>
    <t>Zapatos PARA DAMA</t>
  </si>
  <si>
    <t>Zapatos PARA HOMBRE</t>
  </si>
  <si>
    <t>Cable De 7 Hilos No. 12 Blanco</t>
  </si>
  <si>
    <t>Cable De 7 Hilos No. 12 Rojo</t>
  </si>
  <si>
    <t>Cable De 7 Hilos No. 12 Verde</t>
  </si>
  <si>
    <t xml:space="preserve">Cable Duplex 16x2 </t>
  </si>
  <si>
    <t xml:space="preserve">Cable encauchetado  No.3x14 </t>
  </si>
  <si>
    <t xml:space="preserve">Cable encauchetado  No.3x16 </t>
  </si>
  <si>
    <t xml:space="preserve">Cable Telefonico Plano De 6 Hilos - 3 Pares </t>
  </si>
  <si>
    <t xml:space="preserve">Cajas De Paso </t>
  </si>
  <si>
    <t>Bulto</t>
  </si>
  <si>
    <t xml:space="preserve">Formas Cont. 9 1/2 X 11 A 3 Partes  Con Logo.  Tintas 1 X 0  Bond 60 Gms ( 1000 ) </t>
  </si>
  <si>
    <t>1.53.7.5.1</t>
  </si>
  <si>
    <t>Formas Contínuas 9 1/2 X 11 A 1 Parte rayado, elaborada en papel bond de 60 gramos</t>
  </si>
  <si>
    <t xml:space="preserve">Formas Cont. 14 7/8 X 11 A 1 Parte   elaborada en papel bond de 60 gramos Raya verde Caja 3000 hojas </t>
  </si>
  <si>
    <t>Forma continua de una parte, elaborada en papel bond de 60 gramos, y un tamaño de 9 1/2 x 11 pulgadas, blanca (3000)</t>
  </si>
  <si>
    <t>1.53.7.5.</t>
  </si>
  <si>
    <t>Formas Contínuas 9 1/2 X 5 A 1/2 Parte Troquelado, elaborada en papel bond de 60 gramos</t>
  </si>
  <si>
    <t>Fonomemos Sencillos Forma preimpresa para comunicaciones de tamaño medio oficio, con presentación en libro x150 unidades</t>
  </si>
  <si>
    <t xml:space="preserve">Cielo En Yeso Sistema Drywall </t>
  </si>
  <si>
    <t>Cieloraso Line Astrong Con Perfileria</t>
  </si>
  <si>
    <t>Cinta Aislante 3m Super</t>
  </si>
  <si>
    <t>Conectores Pvc 3/4 "</t>
  </si>
  <si>
    <t>Corniza En Yeso Acabado En Blanco</t>
  </si>
  <si>
    <t xml:space="preserve">Division En Vidrio Templado </t>
  </si>
  <si>
    <t xml:space="preserve">Durmiente Ordinario </t>
  </si>
  <si>
    <t xml:space="preserve">Feceplate Para Dos Modulos </t>
  </si>
  <si>
    <t>Grapas Plasticas No.10</t>
  </si>
  <si>
    <t xml:space="preserve">  </t>
  </si>
  <si>
    <t>VALORES NIVEL CENTRAL</t>
  </si>
  <si>
    <t>VALORES NIVEL REGIONAL</t>
  </si>
  <si>
    <t>VALORES TOTAL</t>
  </si>
  <si>
    <t>seguridad oficio  634 de juni /04</t>
  </si>
  <si>
    <t>Oficio 634 de junio 2044</t>
  </si>
  <si>
    <t>SEGURIDAD Y VIGILANCIA  Y ASEO</t>
  </si>
  <si>
    <t>MANTENIMIENTO</t>
  </si>
  <si>
    <t>SERVICIOS PUBLICOS</t>
  </si>
  <si>
    <t>ARRENDAMIENTO</t>
  </si>
  <si>
    <t>COMUNICACIONES Y TRANSPORTE</t>
  </si>
  <si>
    <t>SEGUROS</t>
  </si>
  <si>
    <t>IMPRESOS Y PUBLICACIONES</t>
  </si>
  <si>
    <t>Grapas Plasticas No.12</t>
  </si>
  <si>
    <t>Grapas Plasticas No.16</t>
  </si>
  <si>
    <t xml:space="preserve">Laminas De Icopor De 1x1 Mts </t>
  </si>
  <si>
    <t xml:space="preserve">Laminas De Icopor De 3 Cms </t>
  </si>
  <si>
    <t>Lampara 60x60 Con Difusor Un. Parabolico</t>
  </si>
  <si>
    <t>Lampara Marca Sylvania Pa-38</t>
  </si>
  <si>
    <t>Manija Para Ventana</t>
  </si>
  <si>
    <t xml:space="preserve">Masilla Piso </t>
  </si>
  <si>
    <t xml:space="preserve">Pacht Cable </t>
  </si>
  <si>
    <t>Panel Emtamborados De 1.20x2.40</t>
  </si>
  <si>
    <t>Parales Metalicos Para Baños  Varias Med.</t>
  </si>
  <si>
    <t xml:space="preserve">Pegante     </t>
  </si>
  <si>
    <t>Thiner (  galones)</t>
  </si>
  <si>
    <t>PEGANTE CAUCHOLA (x GALON)</t>
  </si>
  <si>
    <t>Conectores Rg -6 Tipo F</t>
  </si>
  <si>
    <t>Uniformes Deportivos</t>
  </si>
  <si>
    <t>Medallas  y placas</t>
  </si>
  <si>
    <t>Radios de Comunicación</t>
  </si>
  <si>
    <t xml:space="preserve">Antenas </t>
  </si>
  <si>
    <t>V.H.S.</t>
  </si>
  <si>
    <t>Televisores</t>
  </si>
  <si>
    <t>VIATICOS Y GASTOS DE VIAJE</t>
  </si>
  <si>
    <t>cja</t>
  </si>
  <si>
    <t>Viajes del interior</t>
  </si>
  <si>
    <t>Otros impuestos</t>
  </si>
  <si>
    <t>Seguros de sustracción y hurto</t>
  </si>
  <si>
    <t>1.60.2.1</t>
  </si>
  <si>
    <t>1.60.6.1</t>
  </si>
  <si>
    <t>1.60.2.4</t>
  </si>
  <si>
    <t>1.60.1.13</t>
  </si>
  <si>
    <t>1.60.2.9</t>
  </si>
  <si>
    <t>1.60.7.1</t>
  </si>
  <si>
    <t>1.60.6.2</t>
  </si>
  <si>
    <t>Zapato clásico informal con suela antideslizante</t>
  </si>
  <si>
    <t>1.65.7.3</t>
  </si>
  <si>
    <t>1.65.1.4</t>
  </si>
  <si>
    <t>1.10.7.1</t>
  </si>
  <si>
    <t>1.65.7.3.1</t>
  </si>
  <si>
    <t>1.52.1.1</t>
  </si>
  <si>
    <t>Bandas elasticas de caucho Ref.22 (De 25 Grs)</t>
  </si>
  <si>
    <t>1.52.1.11</t>
  </si>
  <si>
    <t>1.52.1.7</t>
  </si>
  <si>
    <t>1.52.1.17</t>
  </si>
  <si>
    <t>1.52.1.12</t>
  </si>
  <si>
    <t>1.52.1.19</t>
  </si>
  <si>
    <t>1.52.1.21</t>
  </si>
  <si>
    <t>1.52.1.20.1</t>
  </si>
  <si>
    <t>1.54.3.5.12</t>
  </si>
  <si>
    <t>1.44.6.5.1</t>
  </si>
  <si>
    <t>1.32.10.8.1</t>
  </si>
  <si>
    <t>1.52.1.32.78</t>
  </si>
  <si>
    <t>1.52.1.31</t>
  </si>
  <si>
    <t>1.52.1.31.417</t>
  </si>
  <si>
    <t>1.52.1.30.36</t>
  </si>
  <si>
    <t>1.52.1.30</t>
  </si>
  <si>
    <t>1.52.1.25</t>
  </si>
  <si>
    <t>1.52.1.22</t>
  </si>
  <si>
    <t>1.52.1.35</t>
  </si>
  <si>
    <t>1.52.1.56</t>
  </si>
  <si>
    <t>1.52.1.52</t>
  </si>
  <si>
    <t>1.52.1.15</t>
  </si>
  <si>
    <t>1.20.2.2</t>
  </si>
  <si>
    <t>CABUYA  O Hilo polipropileno</t>
  </si>
  <si>
    <t>1.52.1.53</t>
  </si>
  <si>
    <t>1.52.1.8.45</t>
  </si>
  <si>
    <t>1.52.1.81.113</t>
  </si>
  <si>
    <t>1.52.1.81</t>
  </si>
  <si>
    <t>1.52.3.7</t>
  </si>
  <si>
    <t>Seguro Accidentes personales</t>
  </si>
  <si>
    <t>Splinter De 2 Salidas</t>
  </si>
  <si>
    <t>Carretilla Boggy grande</t>
  </si>
  <si>
    <t>Desague sencilllos para lavamos grival</t>
  </si>
  <si>
    <t>ENCHAPE (X mtr2) DE 20 x 20  PARA BAÑO</t>
  </si>
  <si>
    <t>Aceite Multigrado  -1/4</t>
  </si>
  <si>
    <t>Aceite Monogrado 1/4</t>
  </si>
  <si>
    <r>
      <t>Aire acondicionado central</t>
    </r>
    <r>
      <rPr>
        <sz val="11"/>
        <color indexed="40"/>
        <rFont val="Arial"/>
        <family val="2"/>
      </rPr>
      <t xml:space="preserve">  CHOCO Y GUAJIRA , OTRAS CIUDADES</t>
    </r>
  </si>
  <si>
    <t>Toner Para Impresora Lexmark T 630 Ref:12a7462 (para 25.000 copias)</t>
  </si>
  <si>
    <t xml:space="preserve">JABONERA  LINEA NOVA PARA LAVAMANOS </t>
  </si>
  <si>
    <t>LAVAMANOS BLANCOS LINEA NOVA</t>
  </si>
  <si>
    <t>LONAS</t>
  </si>
  <si>
    <t>Candado de seguridad YALE Ref.870</t>
  </si>
  <si>
    <t>1.32.8.7</t>
  </si>
  <si>
    <t>Reposición de partes para equipos e impresoras</t>
  </si>
  <si>
    <t>Moto 650 c.c.</t>
  </si>
  <si>
    <t>Tapete Argollado individual</t>
  </si>
  <si>
    <t>MACETA DE 4 LIBRAS</t>
  </si>
  <si>
    <t>MACETA DE 3 LIBRAS</t>
  </si>
  <si>
    <t>MEZCLADOR L/PLATOS LINEA PRISMA LOIRA GRIVAL</t>
  </si>
  <si>
    <t>ORINAL SISTEMA INSTITUCIONAL CON GRIFERIA DE 1/2</t>
  </si>
  <si>
    <t>PALUSTRES DE 6" MARCA LORITO</t>
  </si>
  <si>
    <t>PALUSTRES DE 8" MARCA LORITO</t>
  </si>
  <si>
    <t>Pegante Boxer</t>
  </si>
  <si>
    <t>Pintura Color Blanco Y Marron</t>
  </si>
  <si>
    <t>Pintura De Cielo Raso</t>
  </si>
  <si>
    <t xml:space="preserve">Pinturas </t>
  </si>
  <si>
    <t xml:space="preserve">Pinturas Viniltex Varios  Colores  </t>
  </si>
  <si>
    <t xml:space="preserve">Piso Jazz </t>
  </si>
  <si>
    <t xml:space="preserve">Puerta De Seguridad </t>
  </si>
  <si>
    <t>Splinter De 3 Salidas</t>
  </si>
  <si>
    <t>Tapa Blaca Para Modulo</t>
  </si>
  <si>
    <t>Tapas Para Toma Plasticas</t>
  </si>
  <si>
    <t>1.5.2.7</t>
  </si>
  <si>
    <t>1.22.2.3</t>
  </si>
  <si>
    <t>Bote  "Taxi panga"</t>
  </si>
  <si>
    <t>1.36.6.1</t>
  </si>
  <si>
    <t>1.36.1.4</t>
  </si>
  <si>
    <t>1.36.2.3</t>
  </si>
  <si>
    <t>1.36.1.1</t>
  </si>
  <si>
    <t>1.39.9.8</t>
  </si>
  <si>
    <t>1.16.2.16</t>
  </si>
  <si>
    <t>1.32.2.13</t>
  </si>
  <si>
    <t>1.52.2.16</t>
  </si>
  <si>
    <t>1.47.2.4</t>
  </si>
  <si>
    <t>1.47.2.1</t>
  </si>
  <si>
    <t>Terminal Cable Estranded</t>
  </si>
  <si>
    <t>Terminal Para Coaxial</t>
  </si>
  <si>
    <t xml:space="preserve">Cucharas tinteras </t>
  </si>
  <si>
    <t>Caqueta Impermeable</t>
  </si>
  <si>
    <t xml:space="preserve">Terminal Pares Conectores </t>
  </si>
  <si>
    <t xml:space="preserve">Terminales En Angulo </t>
  </si>
  <si>
    <t>Tiras Perfil En U. Ref.1709 X 6 Mts</t>
  </si>
  <si>
    <t>Tiras Perfil En U. Ref.1870 X 6 Mts</t>
  </si>
  <si>
    <t>Tiras Perfil En U. Ref.1871 X 6 Mts</t>
  </si>
  <si>
    <t>Tiras Perfil En U. Ref.1872 X 6 Mts</t>
  </si>
  <si>
    <t>Tiras Perfil Rectangular 3/4x1/2</t>
  </si>
  <si>
    <t xml:space="preserve">Toma Doble Polo Aislado </t>
  </si>
  <si>
    <t>Tomas</t>
  </si>
  <si>
    <t>Tomas Sencillas Marca Ave</t>
  </si>
  <si>
    <t xml:space="preserve">Tornillos 316x 3 " Con Tuerca Y Arandela </t>
  </si>
  <si>
    <t>Tornillos Para Lamina 8x12</t>
  </si>
  <si>
    <t>Troqueles Para Toma Leviton</t>
  </si>
  <si>
    <t>Tubos Conduit Pvc De 1"</t>
  </si>
  <si>
    <t>Tubos Conduit Pvc De 3/4 "</t>
  </si>
  <si>
    <t xml:space="preserve">Tubos Pvc Conduit </t>
  </si>
  <si>
    <t xml:space="preserve">Vigas En Ordinario </t>
  </si>
  <si>
    <t>Otros materiales y suministros</t>
  </si>
  <si>
    <t>Brocha No. 1</t>
  </si>
  <si>
    <t>Lineas Conmutadas (Instalación de 12 meses de servicio</t>
  </si>
  <si>
    <t>Lineas Satelital de 32 kbps (Instalación de 12 meses)</t>
  </si>
  <si>
    <t>ARMAMENTO</t>
  </si>
  <si>
    <t>Pinturas Viniltex en cuñetes</t>
  </si>
  <si>
    <t>Piso Jazz color</t>
  </si>
  <si>
    <t>BROCA HSS DE 7/16 DE PULGADA</t>
  </si>
  <si>
    <t xml:space="preserve">REMACHE CIEGO SERIE 4-6 pavonados </t>
  </si>
  <si>
    <t>CHAZOS PLASTICOS RENURADOS  DE 1/4 CONTORNILLO</t>
  </si>
  <si>
    <t>Tornillos aglomerado de  6x1"</t>
  </si>
  <si>
    <t>Tornillo APR de 8 X1 cabeza plana</t>
  </si>
  <si>
    <t>TUBO DE 1 1/2 x1 1/2 CUADRADOS EN ANOLOCK (TIRAS)</t>
  </si>
  <si>
    <t>Panel madefles con alma de icoporr de  3.5 mm de espesor</t>
  </si>
  <si>
    <t xml:space="preserve">GANCHO TEJA ETERNIT  </t>
  </si>
  <si>
    <t>Pilas medianas</t>
  </si>
  <si>
    <t>Taladro destornillador de 1/2"</t>
  </si>
  <si>
    <t xml:space="preserve">FLEXOMETRO STANLEY 5 mtrs </t>
  </si>
  <si>
    <t>Escalera Metalica de 2 pasos estilo tijera</t>
  </si>
  <si>
    <t xml:space="preserve">Cable Utp  Nivel 6 X   1500 Mts  ( 1 ) </t>
  </si>
  <si>
    <t>CD Read Write  "Regrabable"</t>
  </si>
  <si>
    <t>Pilas no  alcalinas de 9 Voltios</t>
  </si>
  <si>
    <t>Bombillas Alemana para reflector HIT de 400 Voltios Metalhaline colo magneta</t>
  </si>
  <si>
    <t>Brasaletes de 40 cms de largo x 10 cms</t>
  </si>
  <si>
    <t>PERFIL MARCO PUERTA en anolock  (tiras)</t>
  </si>
  <si>
    <t>Vidrios transparente de 1mT x 1,20 Mtrs</t>
  </si>
  <si>
    <t>Balasto De 2 X 40 Rapido Stard 120 V.</t>
  </si>
  <si>
    <t xml:space="preserve">Balasto De 2x 48 A 120 </t>
  </si>
  <si>
    <t>Balastos De 1x13 W   Fna 120v</t>
  </si>
  <si>
    <t>Balastos De 1x20 A 150v.</t>
  </si>
  <si>
    <t>Balastos De 1x20 Fna 120v</t>
  </si>
  <si>
    <t>Balastos De 1x40 W X118 Vfn</t>
  </si>
  <si>
    <t>Balastos De 2x40 W X 120 Va Frs</t>
  </si>
  <si>
    <t>Balastos Elect. Ref.B2-32p 120hp</t>
  </si>
  <si>
    <t>Balastos Electronico De 4x17 W. A 120 V.</t>
  </si>
  <si>
    <t xml:space="preserve">Baterias De Carga Seca </t>
  </si>
  <si>
    <t xml:space="preserve">Bombillos </t>
  </si>
  <si>
    <t>Mesa especial para el escenario del auditorio en madera con faldon de 4,20xo.87 con laca catalizadora</t>
  </si>
  <si>
    <t>1.48.1</t>
  </si>
  <si>
    <t>Silla para cafeteria sin brazos en tuberia negra</t>
  </si>
  <si>
    <t>Bombillos Ahorradores 13 W /21-840 Doble Tw</t>
  </si>
  <si>
    <t>Bombillos Ahorradores De Energia X20 W X 120 V.</t>
  </si>
  <si>
    <t>Bombillos De 120v X 100w</t>
  </si>
  <si>
    <t>Bombillos De 150v X 150w</t>
  </si>
  <si>
    <t>PROCURADURIA GENERAL DE LA NACION</t>
  </si>
  <si>
    <t>DIVISION ADMINISTRATIVA</t>
  </si>
  <si>
    <t xml:space="preserve">Deducible para siniestros </t>
  </si>
  <si>
    <t>Telefonos digitales y planta digitales</t>
  </si>
  <si>
    <t>Extintores de agua</t>
  </si>
  <si>
    <t>Gasolina nivel central</t>
  </si>
  <si>
    <t>Bombillos Halogenos De 50 W 12 V.</t>
  </si>
  <si>
    <t>Bombillos Tipo Vela De 40wx110v</t>
  </si>
  <si>
    <t>Brocha No. 3</t>
  </si>
  <si>
    <t>1.47.5.6</t>
  </si>
  <si>
    <t>1.52.1</t>
  </si>
  <si>
    <t>1.52.1.9</t>
  </si>
  <si>
    <t>1.52.2.12</t>
  </si>
  <si>
    <t>1.48.1.3</t>
  </si>
  <si>
    <t>1.48.1.9</t>
  </si>
  <si>
    <t>1.48.1.11</t>
  </si>
  <si>
    <t>1.48.1.27</t>
  </si>
  <si>
    <t>1.48.1.35</t>
  </si>
  <si>
    <t>1.39.9.2</t>
  </si>
  <si>
    <t>1.39.10.7</t>
  </si>
  <si>
    <t>1.40.7.2</t>
  </si>
  <si>
    <t>1.59.3.4</t>
  </si>
  <si>
    <t>1.37.4.3</t>
  </si>
  <si>
    <t>1.30.4.2</t>
  </si>
  <si>
    <t>1.57.2.4</t>
  </si>
  <si>
    <t>1.37.17.1</t>
  </si>
  <si>
    <t>1.56.2.10</t>
  </si>
  <si>
    <t>1.30.4.4</t>
  </si>
  <si>
    <t>1.16.10.9</t>
  </si>
  <si>
    <t>Esmeriladora lija de tela  de agua No.150</t>
  </si>
  <si>
    <t>Esmeriladora lija de tela  de agua No.180</t>
  </si>
  <si>
    <t>Esmeriladora lija de tela  de agua No.120</t>
  </si>
  <si>
    <t>Esmeriladora lija de tela  de agua No.220</t>
  </si>
  <si>
    <t>Esmeriladora lija de tela  de agua No.240</t>
  </si>
  <si>
    <t>Esmeriladora lija de tela  de agua No.60</t>
  </si>
  <si>
    <t>1.58.1.18</t>
  </si>
  <si>
    <t>1.42.6.1</t>
  </si>
  <si>
    <t>1.30.4.6</t>
  </si>
  <si>
    <t>1.27.3.17</t>
  </si>
  <si>
    <t>1.40.4.6</t>
  </si>
  <si>
    <t>1.22.4.5</t>
  </si>
  <si>
    <t>1.60.11.13</t>
  </si>
  <si>
    <t>1.60.1.7</t>
  </si>
  <si>
    <t>1.60.1.8</t>
  </si>
  <si>
    <t>1.60.15.15</t>
  </si>
  <si>
    <t>1.60.15.4</t>
  </si>
  <si>
    <t>1.60.11.12</t>
  </si>
  <si>
    <t>1.60.15.7</t>
  </si>
  <si>
    <t>1.60.3.4</t>
  </si>
  <si>
    <t>1.65.1.6</t>
  </si>
  <si>
    <t>2.25.2</t>
  </si>
  <si>
    <t>2.37.2</t>
  </si>
  <si>
    <t>2.39.3</t>
  </si>
  <si>
    <t>2.28.1</t>
  </si>
  <si>
    <t>1.53.1</t>
  </si>
  <si>
    <t>2.27.6.1</t>
  </si>
  <si>
    <t>2.27.10.1</t>
  </si>
  <si>
    <t>2.28.3</t>
  </si>
  <si>
    <t>1.70.7</t>
  </si>
  <si>
    <t>1.48.2.80</t>
  </si>
  <si>
    <t>1.47.2</t>
  </si>
  <si>
    <t>Padmouse</t>
  </si>
  <si>
    <t>Balones</t>
  </si>
  <si>
    <t>Sudaderas</t>
  </si>
  <si>
    <t>Camisetas de presentación</t>
  </si>
  <si>
    <t>Placas fotograbadas en bronce de 11X 3 Cms</t>
  </si>
  <si>
    <t>1.51.4.7</t>
  </si>
  <si>
    <t>1.30.2.50</t>
  </si>
  <si>
    <t>1.32.10</t>
  </si>
  <si>
    <t>1.48.1.8</t>
  </si>
  <si>
    <t>1.49.3.5</t>
  </si>
  <si>
    <t>1.60.1.3</t>
  </si>
  <si>
    <t>1.60.1.11</t>
  </si>
  <si>
    <t>1.60.1.14</t>
  </si>
  <si>
    <t>1.64.9.1</t>
  </si>
  <si>
    <t>1.58.1.1</t>
  </si>
  <si>
    <t>1.52.1.38</t>
  </si>
  <si>
    <t>1.52.1.16</t>
  </si>
  <si>
    <t>1.52.3.2</t>
  </si>
  <si>
    <t>1.52.1.62</t>
  </si>
  <si>
    <t>1.52.1.76</t>
  </si>
  <si>
    <t>1.52.1.18</t>
  </si>
  <si>
    <t>1.52.1.29</t>
  </si>
  <si>
    <t>1.52.1.41</t>
  </si>
  <si>
    <t>2.24.1</t>
  </si>
  <si>
    <t>2.34.2</t>
  </si>
  <si>
    <t>2.34.4</t>
  </si>
  <si>
    <t>2.43.1</t>
  </si>
  <si>
    <t>2.34.3</t>
  </si>
  <si>
    <t>1.53.2</t>
  </si>
  <si>
    <t>2.28.5</t>
  </si>
  <si>
    <t>Tubo Fluorescente Sl-96/54</t>
  </si>
  <si>
    <t>Tubo Reflector Interperic 150wx120v</t>
  </si>
  <si>
    <t>Tubos Fluorescentes 40 W T-12</t>
  </si>
  <si>
    <t>Tubos Fluorescentes De 17 W T-8</t>
  </si>
  <si>
    <t>Tubos Fluorescentes De 39 W -120 Slim</t>
  </si>
  <si>
    <t>Tubos Slim De 48"</t>
  </si>
  <si>
    <t>Tubos Slim De 96"</t>
  </si>
  <si>
    <t>Otros gastos generales por adquisición de bienes</t>
  </si>
  <si>
    <t>Capacitación bienestar social y estímulos</t>
  </si>
  <si>
    <t xml:space="preserve">Botiquín </t>
  </si>
  <si>
    <t>Chaleco alta visibilidad</t>
  </si>
  <si>
    <t>Chaleco reflectivo</t>
  </si>
  <si>
    <t>Guantes Reflectivos</t>
  </si>
  <si>
    <t>Impermeable</t>
  </si>
  <si>
    <t xml:space="preserve">Otros </t>
  </si>
  <si>
    <t>Adquisición de Servicios</t>
  </si>
  <si>
    <t>Mantenimiento de Bienes Inmuebles</t>
  </si>
  <si>
    <t>Ascensores Torre B</t>
  </si>
  <si>
    <t>Muebles perimetrales</t>
  </si>
  <si>
    <t>Pago administración de sedes</t>
  </si>
  <si>
    <t>Otros</t>
  </si>
  <si>
    <t xml:space="preserve">Aceite para carro </t>
  </si>
  <si>
    <t>Mantenimiento parque automotor</t>
  </si>
  <si>
    <t>Filtros</t>
  </si>
  <si>
    <t>Valbulina</t>
  </si>
  <si>
    <t>Mantenimiento equipo de comunicación y cómputo</t>
  </si>
  <si>
    <t>Computadores e impresoras</t>
  </si>
  <si>
    <t>Faxes</t>
  </si>
  <si>
    <t>Conmutador</t>
  </si>
  <si>
    <t>Máquinas de eléctricas</t>
  </si>
  <si>
    <t>Matenimiento de otros bienes muebles</t>
  </si>
  <si>
    <t>Archivadores rodantes</t>
  </si>
  <si>
    <t>Brilladoras y aspiradoras</t>
  </si>
  <si>
    <t xml:space="preserve">Cerradura (para puertas y escritorios, varias marcas y modelos) </t>
  </si>
  <si>
    <t>Rodachinas (8 Cms)</t>
  </si>
  <si>
    <t>TOPES DE LIRA</t>
  </si>
  <si>
    <t>Baldes plasticos</t>
  </si>
  <si>
    <t>Pintura amarilla (x galones)</t>
  </si>
  <si>
    <t>Conectores RJ-45 para cable UTP</t>
  </si>
  <si>
    <t>Filtros agua (cafetería)</t>
  </si>
  <si>
    <t>Grecas</t>
  </si>
  <si>
    <t>Predial</t>
  </si>
  <si>
    <t>Vehiculos</t>
  </si>
  <si>
    <t>Scanner y cámaras de video</t>
  </si>
  <si>
    <t>Sillas, mesas y escritorios</t>
  </si>
  <si>
    <t>U.P.S.</t>
  </si>
  <si>
    <t>Servicio de seguridad y vigilancia</t>
  </si>
  <si>
    <t xml:space="preserve">Servicio de aseo </t>
  </si>
  <si>
    <t>Servicios Públicos</t>
  </si>
  <si>
    <t>Acueducto</t>
  </si>
  <si>
    <t>Energía</t>
  </si>
  <si>
    <t>Gas natural</t>
  </si>
  <si>
    <t>Instalación líneas telefónicas</t>
  </si>
  <si>
    <t>Arrendamientos</t>
  </si>
  <si>
    <t>Arrendamiento micros e impresoras</t>
  </si>
  <si>
    <t>Arrendamiento fotocopiadoras</t>
  </si>
  <si>
    <t>Parqueaderos</t>
  </si>
  <si>
    <t>Sedes</t>
  </si>
  <si>
    <t>Impresos y publicaciones</t>
  </si>
  <si>
    <t>Edición de libros, revistas y trabajos tipográficos</t>
  </si>
  <si>
    <t>Suscripciones</t>
  </si>
  <si>
    <t>Adquisición de libros y revistas</t>
  </si>
  <si>
    <t>Otros gastos por impresos y publicaciones</t>
  </si>
  <si>
    <t>Comunicaciones y transportes</t>
  </si>
  <si>
    <t>Beeper</t>
  </si>
  <si>
    <t>Seguros</t>
  </si>
  <si>
    <t xml:space="preserve"> </t>
  </si>
  <si>
    <t xml:space="preserve">Rosetas De Porcelana </t>
  </si>
  <si>
    <t>Teléfono sencillo análogos</t>
  </si>
  <si>
    <t>almohadillas dactilares</t>
  </si>
  <si>
    <t>Bateria para radio portatil</t>
  </si>
  <si>
    <t>1.21.4</t>
  </si>
  <si>
    <t>1.48.1.1</t>
  </si>
  <si>
    <t>1.48.3.1</t>
  </si>
  <si>
    <t>1.48.1.7</t>
  </si>
  <si>
    <t>1.49.2.13</t>
  </si>
  <si>
    <t>Cartulina canon  160 Varios Colores</t>
  </si>
  <si>
    <t>Balso Varilla</t>
  </si>
  <si>
    <t>Carton Paja</t>
  </si>
  <si>
    <t>Cable Telefonico Resortado RJ 10</t>
  </si>
  <si>
    <t>Conectores RJ-10 para telefono</t>
  </si>
  <si>
    <t>Cajas (tomas) para telefono  2 lineas</t>
  </si>
  <si>
    <t>UNID.</t>
  </si>
  <si>
    <t>Liquido Diluyente O Corrector líquido IMPACTO</t>
  </si>
  <si>
    <t>Tubos Fluorescentes  DE 39W - 48"  SL</t>
  </si>
  <si>
    <t>Tubos Fluorescentes   DE 75W - 96"  SL  T12</t>
  </si>
  <si>
    <t>Tubos Fluorescentes   DE 40W  T12</t>
  </si>
  <si>
    <t>Tubos Fluorescentes   DE 20W  T12</t>
  </si>
  <si>
    <t>Tubos Fluorescentes  DE 32W  T8</t>
  </si>
  <si>
    <t>Tubos Fluorescentes   DE 32W  EN U  T8</t>
  </si>
  <si>
    <t>Tubos Fluorescentes  DE 17W   T8</t>
  </si>
  <si>
    <t>TUBO METALICO EMT DE 3/4"</t>
  </si>
  <si>
    <t>TUBO METALICO EMT DE 1"</t>
  </si>
  <si>
    <t>TUBO METALICO EMT DE 11/4"</t>
  </si>
  <si>
    <r>
      <t>Tubos Conduit</t>
    </r>
    <r>
      <rPr>
        <sz val="10"/>
        <rFont val="Arial"/>
        <family val="2"/>
      </rPr>
      <t xml:space="preserve"> DE 1/2"</t>
    </r>
  </si>
  <si>
    <t>Tubos Conduit  DE 3/4"</t>
  </si>
  <si>
    <t>Tubos Conduit DE 1"</t>
  </si>
  <si>
    <t>Tubos Conduit DE 11/4"</t>
  </si>
  <si>
    <t>Tubos Conduit DE 1/2"</t>
  </si>
  <si>
    <t>Tubos Conduit DE 3/4"</t>
  </si>
  <si>
    <t>JUEGO</t>
  </si>
  <si>
    <r>
      <t>Terminal Conector para  Tubo</t>
    </r>
    <r>
      <rPr>
        <sz val="10"/>
        <rFont val="Arial"/>
        <family val="2"/>
      </rPr>
      <t xml:space="preserve"> EMT DE 3/4"</t>
    </r>
  </si>
  <si>
    <t>Terminal Conector para  Tubo EMT DE 1"</t>
  </si>
  <si>
    <t>Terminal Conector para  Tubo EMT DE 11/4"</t>
  </si>
  <si>
    <t>Toma y Clavija Aerea Polo a Tierra</t>
  </si>
  <si>
    <t>Toma Doble Sobreponer con Polo a Tierra</t>
  </si>
  <si>
    <t>Terminal de ojo para Cable No.14</t>
  </si>
  <si>
    <t>Tapa Ciega Para Caja Octogonal</t>
  </si>
  <si>
    <t>Tapa CT-Blink - (02)</t>
  </si>
  <si>
    <t>Starte 2F</t>
  </si>
  <si>
    <t>transporte de correspondencia</t>
  </si>
  <si>
    <t xml:space="preserve">transporte de bienes </t>
  </si>
  <si>
    <t>Adpostal</t>
  </si>
  <si>
    <t>seguro de Vida (Ley 16 /88)</t>
  </si>
  <si>
    <t>CASEINA PAPAGAYO x 5 GALONES</t>
  </si>
  <si>
    <t>Soporte para T.V. Y VHS</t>
  </si>
  <si>
    <t>Starte 4F</t>
  </si>
  <si>
    <t>Resistencia para Estufa de 6" 110V</t>
  </si>
  <si>
    <t>Portalampara con gancho de loza</t>
  </si>
  <si>
    <t>PLUG TELEFONICO RJ 11 DE 6 HILOS</t>
  </si>
  <si>
    <t>PLUG TELEFONICO RJ 10 DE 4 HILOS</t>
  </si>
  <si>
    <t>Modulo Para Salida Logica CT-5-A4-02 (T568B)</t>
  </si>
  <si>
    <t>Modulo Para Salida Logica CT-5-A4-A4-01 (T568B)</t>
  </si>
  <si>
    <t>Modulo Para Salida Logica CT-5-A4-A4-(T568B)</t>
  </si>
  <si>
    <t>LAMPARA  COMPLETA DE 2X48, TIPO ANGEL</t>
  </si>
  <si>
    <t>Interruptor Sencillo Luminex</t>
  </si>
  <si>
    <t>Interruptor DOBLE Luminex</t>
  </si>
  <si>
    <t>Interruptor TRIPLE Luminex</t>
  </si>
  <si>
    <t>Equipo cafetería</t>
  </si>
  <si>
    <t>GRAPA PARA FIJAR  CABLE 2X16</t>
  </si>
  <si>
    <t>Brocha No. 2</t>
  </si>
  <si>
    <t>Espiral  Plastico DE 1"</t>
  </si>
  <si>
    <r>
      <t>Tubo Curva de</t>
    </r>
    <r>
      <rPr>
        <sz val="10"/>
        <rFont val="Arial"/>
        <family val="2"/>
      </rPr>
      <t xml:space="preserve"> 90° PARA EMT DE 3/4"</t>
    </r>
  </si>
  <si>
    <r>
      <t>Tubo Curva de</t>
    </r>
    <r>
      <rPr>
        <sz val="10"/>
        <rFont val="Arial"/>
        <family val="2"/>
      </rPr>
      <t xml:space="preserve"> 90° PARA TUBO EMT DE 1"</t>
    </r>
  </si>
  <si>
    <r>
      <t>Tubo Curva de</t>
    </r>
    <r>
      <rPr>
        <sz val="10"/>
        <rFont val="Arial"/>
        <family val="2"/>
      </rPr>
      <t xml:space="preserve"> 90° PARA TUBO EMT DE 11/4"</t>
    </r>
  </si>
  <si>
    <r>
      <t>Conector  Tubular Para</t>
    </r>
    <r>
      <rPr>
        <sz val="10"/>
        <rFont val="Arial"/>
        <family val="2"/>
      </rPr>
      <t xml:space="preserve"> CABLE No. 3/0</t>
    </r>
  </si>
  <si>
    <t>Conector  Tubular Para CABLE No. 2/0</t>
  </si>
  <si>
    <t>Conector  Tubular Para CABLE No. 1/0</t>
  </si>
  <si>
    <t>Conector  Tubular Para CABLE No. 2</t>
  </si>
  <si>
    <t>Conector  Tubular Para CABLE No. 4</t>
  </si>
  <si>
    <t>Conector  Tubular Para CABLE No. 6</t>
  </si>
  <si>
    <t xml:space="preserve">Bisturí o Cortador Métalico </t>
  </si>
  <si>
    <t>1.52.1.14.1</t>
  </si>
  <si>
    <t xml:space="preserve">Cinta Para Impresora Panasonic Ref.KXP1150 </t>
  </si>
  <si>
    <t>Cinta Para Impresora Epson FX-1170 Ref.8755</t>
  </si>
  <si>
    <t>Conector  Tubular Para CABLE No. 8</t>
  </si>
  <si>
    <t>Caja Octagonal con tapa</t>
  </si>
  <si>
    <t>Caja 2.400 CON TAPA CIEGA</t>
  </si>
  <si>
    <t>Caja DE PASO DE 0,15 X 0,20</t>
  </si>
  <si>
    <t>Binoculos</t>
  </si>
  <si>
    <t xml:space="preserve">Cassettes para VHS ref: 120 sony </t>
  </si>
  <si>
    <t xml:space="preserve">Cassettes para filmadora 8 MM </t>
  </si>
  <si>
    <t>Destructor de papel automatico (1) de 5 hojas</t>
  </si>
  <si>
    <t>Pantalon  o falda (clima calido)</t>
  </si>
  <si>
    <t>Blusas sport dama, manga</t>
  </si>
  <si>
    <t>Valorización y Edificaciones (MULTAS Y SANCIONES)</t>
  </si>
  <si>
    <t>1.8.1.1</t>
  </si>
  <si>
    <t>1.54.3.5</t>
  </si>
  <si>
    <t>1.48.2</t>
  </si>
  <si>
    <t xml:space="preserve">Guillotina de papel </t>
  </si>
  <si>
    <t>Poltrona en Cuerina</t>
  </si>
  <si>
    <r>
      <t xml:space="preserve">Silla ergonómica </t>
    </r>
    <r>
      <rPr>
        <sz val="11"/>
        <color indexed="9"/>
        <rFont val="Arial"/>
        <family val="2"/>
      </rPr>
      <t>mecánica y Neumatica</t>
    </r>
  </si>
  <si>
    <t>1.56.2</t>
  </si>
  <si>
    <t>1.40.2.1</t>
  </si>
  <si>
    <t>1.35.1</t>
  </si>
  <si>
    <t>1.27.3</t>
  </si>
  <si>
    <t>1.35.2</t>
  </si>
  <si>
    <t>1.25.1</t>
  </si>
  <si>
    <t>1.30.5</t>
  </si>
  <si>
    <t xml:space="preserve">VIDEOGRABADORAS VHS (marca sony) REF; SLV- </t>
  </si>
  <si>
    <t>Cinta Para Impresora Lexmark  Ref.: 2480</t>
  </si>
  <si>
    <t>Cable Paralelo 2X16</t>
  </si>
  <si>
    <t>Cable Paralelo 2X14</t>
  </si>
  <si>
    <t>Braker de 3x300 Am</t>
  </si>
  <si>
    <t>Braker de 3x200 Am</t>
  </si>
  <si>
    <t>Braker de 3X175 Am</t>
  </si>
  <si>
    <t>Braker de 3x150 Am</t>
  </si>
  <si>
    <t>Braker de  3X125 Am</t>
  </si>
  <si>
    <t>Braker de  3X300 Am</t>
  </si>
  <si>
    <t>Formulario Industria y Comercio 2005 O Formularios declaración mensual de retención en la fuente año 2005</t>
  </si>
  <si>
    <t xml:space="preserve">Ganchos Clips Metal.(Cjax100 Uns) O Gancho tipo clip estándar, en alambre metálico galvanizado, de 33 mm, por 100 und.  </t>
  </si>
  <si>
    <t>1.52.1.45.19</t>
  </si>
  <si>
    <t>1.52.1.45.26</t>
  </si>
  <si>
    <t>Ganchos Mariposa Metalico O Gancho tipo clip mariposa, No. 2, en alambre metálico galvanizado, por 50 und.</t>
  </si>
  <si>
    <t>1.52.1.45.33</t>
  </si>
  <si>
    <t>1.52.1.45,54</t>
  </si>
  <si>
    <t>1.52.1.45,79</t>
  </si>
  <si>
    <t>Regla plastica O Guía para trazo tipo regla, en acrílico transparente, borde biselado, unidad milimetrada doble graduación, de 30 cm, por 1 und. (regla plástica de 30 cm)</t>
  </si>
  <si>
    <t>1.52.1.79.146</t>
  </si>
  <si>
    <t xml:space="preserve">Lápiz Negro mina No.2 o Lápiz para escritura, fabricado en madera, de forma hexagonal con borrador, mina negra de 2 mm y dureza No.2.  </t>
  </si>
  <si>
    <t>1.52.1.38.435</t>
  </si>
  <si>
    <t>1.52.1.38.441</t>
  </si>
  <si>
    <t xml:space="preserve">Lapiz Rojo o Lápiz para escritura, fabricado en madera, de forma hexagonal con borrador, mina roja de 2 mm y dureza No.2. </t>
  </si>
  <si>
    <t xml:space="preserve">Libretas de taquigrafia en papel bond O Libreta doble O, de tamaño 14.5x21.9cm, de 70 hojas, en papel periódico de 60g/m2, con diseño de hoja taquigrafía, y pasta en cartón duro plastificado.  </t>
  </si>
  <si>
    <t>1.52.1.52.634</t>
  </si>
  <si>
    <t xml:space="preserve">Libro Radicador 200 Folios o Libro de anotaciones, tapa cartón plastificado, de 21,5 x 33 cm, con 200 hojas, con folio. (rayado, tamaño 32 a 34 cm de largo por 20 a 22 cm de ancho, de 2 a 3 cm de lomo, tipo de papel: rayado para registro de correspondencia)   </t>
  </si>
  <si>
    <t>1.52.1.53.8</t>
  </si>
  <si>
    <t>Libro Radicador 600 Folios  o Libro radicador de 600 folios, rayado, tamaño 32 a 34 cm de largo por 20 a 22 cm de ancho, de 2 a 3 cm de lomo, tipo de papel: rayado para registro de correspondencia</t>
  </si>
  <si>
    <t>Braker de  1X20 Am</t>
  </si>
  <si>
    <t>Braker de  1X15 Am</t>
  </si>
  <si>
    <t>BORNE TERMINAL DE OJO PARA CABLE No. 3/0</t>
  </si>
  <si>
    <t>BORNE TERMINAL DE OJO PARA CABLE No. 2/0</t>
  </si>
  <si>
    <t>BORNE TERMINAL DE OJO PARA CABLE No. 1/0</t>
  </si>
  <si>
    <t>BORNE TERMINAL DE OJO PARA CABLE No. 2</t>
  </si>
  <si>
    <t>BORNE TERMINAL DE OJO PARA CABLE No. 4</t>
  </si>
  <si>
    <t>BORNE TERMINAL DE OJO PARA CABLE No. 6</t>
  </si>
  <si>
    <t>BORNE TERMINAL DE OJO PARA CABLE No. 8</t>
  </si>
  <si>
    <t>BORNE TERMINAL DE OJO PARA CABLE No. 10</t>
  </si>
  <si>
    <t>BORNE TERMINAL DE OJO PARA CABLE No. 12</t>
  </si>
  <si>
    <t>BORNE TERMINAL DE OJO PARA CABLE No. 14</t>
  </si>
  <si>
    <t>BOQUILLA DE 1"</t>
  </si>
  <si>
    <t xml:space="preserve">Balasto De 2x 48 39 W SLIM A 120 V </t>
  </si>
  <si>
    <t xml:space="preserve">Balasto De 2x96 75W SLIM A 120 V. </t>
  </si>
  <si>
    <t xml:space="preserve">Balasto De 2x17 75W SLIM A 120 V. </t>
  </si>
  <si>
    <t>Alambre Thw No. 16</t>
  </si>
  <si>
    <t>Alambre Thw No. 18</t>
  </si>
  <si>
    <t>Fechador de caucho</t>
  </si>
  <si>
    <t>Toner Para Impresora Lexmark T620 y T622 (para 30.000 copias) Ref.:  12 A 6860</t>
  </si>
  <si>
    <t>1.44.3</t>
  </si>
  <si>
    <t>ARENA LAVADA DE RIO</t>
  </si>
  <si>
    <t>GRANITO TRAVERTINO PERUANO No.3</t>
  </si>
  <si>
    <t>GRAVILLA MIXTA O COMUN</t>
  </si>
  <si>
    <t>MUEBLE - LAVAMANOS TIPO GUFO DE  .75 X .52 TABLEX</t>
  </si>
  <si>
    <r>
      <t xml:space="preserve">Transcriptor de cassettes micro  Transcriptora </t>
    </r>
    <r>
      <rPr>
        <sz val="11"/>
        <color indexed="22"/>
        <rFont val="Arial"/>
        <family val="2"/>
      </rPr>
      <t>Secretaria G</t>
    </r>
  </si>
  <si>
    <t>CARRO  PARA TRANSPORTE DE DOCUMENTOS: Con tres bandejas de 10 cms cada</t>
  </si>
  <si>
    <t>MUEBLE - LAVAMANOS GAVICOL DE  .60 X .55 TABLEX</t>
  </si>
  <si>
    <t>MUEBLE - LAVAMANOS GAVICOL DE  .80 X .55 TABLEX</t>
  </si>
  <si>
    <t>MUEBLE- LAVAMANOS GAVICOL DE 1.00 X .55 TABLEX</t>
  </si>
  <si>
    <t>ORINAL MEDIANO</t>
  </si>
  <si>
    <t>Telefono Celular</t>
  </si>
  <si>
    <t>Toner Para Impresora Toshiba BD 1340/ 1350</t>
  </si>
  <si>
    <t>ORINAL FLUXOMETRO</t>
  </si>
  <si>
    <t>SANITARIO STILO COMPLETO</t>
  </si>
  <si>
    <t>SAFE ALCOBA VERONA / 4141 MDR</t>
  </si>
  <si>
    <t>SAFE BAÑOS VERONA / 4152 MDR</t>
  </si>
  <si>
    <t>C.RASO AMSTRONG FIBRA MINERAL /1.22X.61</t>
  </si>
  <si>
    <t>C.RASO AISLAPOR CON PELICULA VINILICA /1.22X.61</t>
  </si>
  <si>
    <t>C.RASO DRY-WALL BOVEDA  60 x 60</t>
  </si>
  <si>
    <t>BULTO</t>
  </si>
  <si>
    <t>KG</t>
  </si>
  <si>
    <t>C.RASO CIELOTABLEX 5,5 mm / 1.20 X 1.20</t>
  </si>
  <si>
    <t>UN</t>
  </si>
  <si>
    <t>C.RASO LISTON PINO PATULA / 8 mm CON DILATACION</t>
  </si>
  <si>
    <t>M2</t>
  </si>
  <si>
    <t xml:space="preserve">C.RASO LISTON PINO ROMERO / 8 mm </t>
  </si>
  <si>
    <t>C.RASO LISTON VIROLA / 8X1cm</t>
  </si>
  <si>
    <t>UNIVERSAL DE 1 Y 1/2" PVC PAVCO</t>
  </si>
  <si>
    <t>UNIVERSAL DE 1 PVC PAVCO</t>
  </si>
  <si>
    <t>impresoras laser a color</t>
  </si>
  <si>
    <t>Escritorio ejecutivo  REF: 300</t>
  </si>
  <si>
    <t>Biblioteca  REF813 Y 813 A</t>
  </si>
  <si>
    <t>Grabadoras   de interceptacion telefonica</t>
  </si>
  <si>
    <t>Alicates  Crescent de 8"</t>
  </si>
  <si>
    <t>Cortavidrio marca toyo.-</t>
  </si>
  <si>
    <t>SERVICIO DE ASEO</t>
  </si>
  <si>
    <t xml:space="preserve">SEGURIDAD Y VIGILANCIA  </t>
  </si>
  <si>
    <t>RESOLUCION  114</t>
  </si>
  <si>
    <t>RESOLUCION 257</t>
  </si>
  <si>
    <t>RESOLUCION 378</t>
  </si>
  <si>
    <t>RESOLUCION 585</t>
  </si>
  <si>
    <t>SUBTOTAL</t>
  </si>
  <si>
    <t>MATERIALES Y SUMINISTROS</t>
  </si>
  <si>
    <t>UNIVERSAL DE 1/2" PVC PAVCO</t>
  </si>
  <si>
    <t>TAPON PVC 1 Y 1/2" PRESION</t>
  </si>
  <si>
    <t>Tornillos Challeger de 1"</t>
  </si>
  <si>
    <t>Pintura Goldtoner (x 5 goles)</t>
  </si>
  <si>
    <t>Brochas  5"</t>
  </si>
  <si>
    <t>ANTEPROYECTO DE MATERIALES Y SUMINISTRO DE 2005</t>
  </si>
  <si>
    <t>Tornillos Challeger de 1/4"</t>
  </si>
  <si>
    <t>Meples (x rollos)</t>
  </si>
  <si>
    <t>Bolsa tapatornillos</t>
  </si>
  <si>
    <t>BISAGRA COMUN 3" x 3"</t>
  </si>
  <si>
    <t>BISAGRA 2" x 2" (caja)</t>
  </si>
  <si>
    <t>BISAGRA 1 1/2" x 1 1/2" (caja)</t>
  </si>
  <si>
    <t>KGR.</t>
  </si>
  <si>
    <t>GALON</t>
  </si>
  <si>
    <t>CABALLETE ETERNIT PF-7 FIJO</t>
  </si>
  <si>
    <t>CABALLETE ETERNIT PF-7 VENTILACION</t>
  </si>
  <si>
    <t>CABALLETE ETERNIT ARTICULADO</t>
  </si>
  <si>
    <t>CLARABOYA ETERNIT No.4</t>
  </si>
  <si>
    <t>CLARABOYA ETERNIT No.6</t>
  </si>
  <si>
    <t>TEJA ETERNIT No.4</t>
  </si>
  <si>
    <t>TEJA ETERNIT No.6</t>
  </si>
  <si>
    <t>TEJA VENTILACION ETERNIT No4</t>
  </si>
  <si>
    <t>TEJA VENTILACION ETERNIT No6</t>
  </si>
  <si>
    <t>CERAMICA ARCADIA DE 11 X 11 LINEA ARQUICER ENCHAPES</t>
  </si>
  <si>
    <t>CERAMICA FORLY 25 X 35 ENCHAPES</t>
  </si>
  <si>
    <t>CERAMICA ROMA  31.6X31.6 ENCHAPES</t>
  </si>
  <si>
    <t>CERAMICA OLIMPIA DE 20.5 X20.5 ENCHAPES</t>
  </si>
  <si>
    <t>CERAMICA MACEDONIA DE 25 X 25 LINEA ARQUICER ENCHAPES</t>
  </si>
  <si>
    <t>Cinta para máquina calculadora bicolor</t>
  </si>
  <si>
    <r>
      <t>PINTU</t>
    </r>
    <r>
      <rPr>
        <b/>
        <sz val="10"/>
        <rFont val="Arial"/>
        <family val="2"/>
      </rPr>
      <t>LACA</t>
    </r>
    <r>
      <rPr>
        <sz val="10"/>
        <rFont val="Arial"/>
        <family val="0"/>
      </rPr>
      <t xml:space="preserve"> AMARILLA (x galones).</t>
    </r>
  </si>
  <si>
    <t>PUERTAS C/MANGO METALICO DE 0,90X2,15mt, ELABORADA</t>
  </si>
  <si>
    <r>
      <t>Repisas cepilladas de 0,04x0,09x3 MTS.</t>
    </r>
    <r>
      <rPr>
        <sz val="11"/>
        <color indexed="9"/>
        <rFont val="Arial"/>
        <family val="2"/>
      </rPr>
      <t>En Abarco</t>
    </r>
  </si>
  <si>
    <t>SIKA IMPERMEABILIZANTE ACRILICO  FILL-5SIKA 1 IMP. INTEGRAL</t>
  </si>
  <si>
    <t>Terminal RJ 45  CATEGORIA 5E AMP</t>
  </si>
  <si>
    <t>YALE  CHAPA PARA ALCOBA OFICINA HIERRO/5304/US26D</t>
  </si>
  <si>
    <t>YALE CHAPA PARA BAÑO HIERRO/5302/US26D</t>
  </si>
  <si>
    <t>PROGRAMA DE   COMPRAS 2005</t>
  </si>
  <si>
    <t>GASTOS JUDICIALES</t>
  </si>
  <si>
    <t>Cinta Para Maquina Olimpia compac MD</t>
  </si>
  <si>
    <t>CERAMICA SAMOS 20.5 X  20.5 LINEA ARQUICER ENCHAPES</t>
  </si>
  <si>
    <t>CERAMICA VERONA DE 25 X 35  ENCHAPES</t>
  </si>
  <si>
    <t>CENEFA TIPO BOLSANO DE 25X11 ENCHAPES</t>
  </si>
  <si>
    <t>CENEFA TIPO  MODENA DE 25X11  ENCHAPES</t>
  </si>
  <si>
    <t>CENEFA TIPO VERONA DE 25 X 11  ENCHAPES</t>
  </si>
  <si>
    <t>Oficina Abierta MUEBLES</t>
  </si>
  <si>
    <t>BROCA DE TUGSTENO DE 3/16 PULGADAS</t>
  </si>
  <si>
    <t>UNIDAD</t>
  </si>
  <si>
    <t>Quemador de CDS Externo</t>
  </si>
  <si>
    <t>Scaner</t>
  </si>
  <si>
    <t>Computadores</t>
  </si>
  <si>
    <t>impresoras laser</t>
  </si>
  <si>
    <t>Impresora de Matriz de Punto</t>
  </si>
  <si>
    <t>Plantas Electricas</t>
  </si>
  <si>
    <t xml:space="preserve">Cinta para impresora Epson DFX-5000, de un color, o 1.52.1.31.48   Cinta para impresora Epson DFX-8000, de un color.  </t>
  </si>
  <si>
    <t>1.52.1.31.47</t>
  </si>
  <si>
    <r>
      <t xml:space="preserve">Pinturas </t>
    </r>
    <r>
      <rPr>
        <b/>
        <sz val="11"/>
        <color indexed="12"/>
        <rFont val="Arial"/>
        <family val="2"/>
      </rPr>
      <t xml:space="preserve"> Aluminio bituminoso</t>
    </r>
  </si>
  <si>
    <t>1.57.1.4.1</t>
  </si>
  <si>
    <t>1.28.2.2</t>
  </si>
  <si>
    <t>1.28.2.3</t>
  </si>
  <si>
    <t>1.35.35.8</t>
  </si>
  <si>
    <t>CEMENTO GRIS (x klos)</t>
  </si>
  <si>
    <t>1.35.1.2.2</t>
  </si>
  <si>
    <t>1.35.1.1.1</t>
  </si>
  <si>
    <t>Docena</t>
  </si>
  <si>
    <t>1.32.8.1</t>
  </si>
  <si>
    <t>1.32.10.8</t>
  </si>
  <si>
    <t>1.32.8.2</t>
  </si>
  <si>
    <t>Kilo</t>
  </si>
  <si>
    <t>Empaque para llave de 1/2" diferentes tamaños</t>
  </si>
  <si>
    <t>Cuñete</t>
  </si>
  <si>
    <t>1.57.4.1</t>
  </si>
  <si>
    <t>1.25.1.11</t>
  </si>
  <si>
    <t>Fluxometro Sloan Genn G77 ahorrador de agua Americanos</t>
  </si>
  <si>
    <t>1.35.8.11</t>
  </si>
  <si>
    <t>Grifería completa para sanitario</t>
  </si>
  <si>
    <t>1.25.1.18.2</t>
  </si>
  <si>
    <t>Griferia automatica completa de 1/2" para orinal</t>
  </si>
  <si>
    <t xml:space="preserve">Grifería sencilla de 1/2" para orinal </t>
  </si>
  <si>
    <t xml:space="preserve">Impermeabilizante acrílico en caucho </t>
  </si>
  <si>
    <t>Laca renanina</t>
  </si>
  <si>
    <t>1.25.1.9</t>
  </si>
  <si>
    <t>Pliego</t>
  </si>
  <si>
    <t>1.32.9.5</t>
  </si>
  <si>
    <t>Lija Nº 120</t>
  </si>
  <si>
    <t>Lija Nº 180</t>
  </si>
  <si>
    <t>Dieciseisava</t>
  </si>
  <si>
    <t>1.25.1.18</t>
  </si>
  <si>
    <t xml:space="preserve">Mezclador de 8" para lavamanos </t>
  </si>
  <si>
    <t>Mezclador de 8" para lavaplatos cuello de cisne</t>
  </si>
  <si>
    <t>1.25.1.6.5</t>
  </si>
  <si>
    <t xml:space="preserve">Orinal línea institucional </t>
  </si>
  <si>
    <t>Llave automática para orinal</t>
  </si>
  <si>
    <t>Llave para lavamanos en bronce cromadas</t>
  </si>
  <si>
    <t>Llave terminal de 1/2" con racor</t>
  </si>
  <si>
    <t>1.27.3.34</t>
  </si>
  <si>
    <t>Cinta para impresora Epson FX 890</t>
  </si>
  <si>
    <t>1.52.1.31.</t>
  </si>
  <si>
    <t>CD "grabable" Disco compacto gravable, de 700 Mb 80 min, por 1 und.  (una sola quemada)</t>
  </si>
  <si>
    <t xml:space="preserve">Disketes  3 1/2 Alta Densidad   Caja X 10 Uns O Diskette de 3.5 HD, con recubrimiento en teflón en la superficie del disco, de laminilla metálica, por 10 und.  </t>
  </si>
  <si>
    <t>1.53.7.5</t>
  </si>
  <si>
    <t>Forma continua de dos partes, elaborada en papel bond de 60 gramos, impresa a una tinta y un tamaño de 14 7/8 x 11 pulgadas rayado verde (1500)</t>
  </si>
  <si>
    <t>DIAFRAGAMA PARA FLUXOMETRO Rex Valve</t>
  </si>
  <si>
    <t>MEZCLADOR L/MANOS TIPO ELITE / 8" linea iris G</t>
  </si>
  <si>
    <t>Empaque para fluxometros Rex</t>
  </si>
  <si>
    <t>Dataswths</t>
  </si>
  <si>
    <t>OTROS</t>
  </si>
  <si>
    <t>seguro equipo electricos</t>
  </si>
  <si>
    <t>Seguros  de incendio</t>
  </si>
  <si>
    <t>seguros Responsabilidad Civil</t>
  </si>
  <si>
    <t>Otros Seguros</t>
  </si>
  <si>
    <t>Gastos Judiciales</t>
  </si>
  <si>
    <t>IMPUESTO TASAS Y MULTAS</t>
  </si>
  <si>
    <t>Filtros para computador</t>
  </si>
  <si>
    <t>BROCA DE TUGSTENO DE 1/4 PULGADAS</t>
  </si>
  <si>
    <t>BROCA DE TUGSTENO DE 3/8 PULGADAS</t>
  </si>
  <si>
    <t>BROCA DE TUGSTENO DE 1/2 PULGADA</t>
  </si>
  <si>
    <t>CERAMICA ALFA LISA DE 30 X30 TRAFICO 4</t>
  </si>
  <si>
    <t>Formas Cont. 9 1/2 X 11 A 2 Partes  Con Logo.  Tintas 1 X 0  Bond 56 Gms Caja de 1500 hojas</t>
  </si>
  <si>
    <t xml:space="preserve">Formas Cont. 9 1/2 X 11 A 1 Partes  Con Logo.  Tintas 1 X 0  Bond 60 Gms Caja de 3000 hojas </t>
  </si>
  <si>
    <t>Formas Cont. 9 1/2 X 13 A 1 Parte Con Logo. Tintas 1 X 0  Bond 60 Gms Caja 3000 hojas</t>
  </si>
  <si>
    <t>Formas Cont. 9 1/2 X 13 A 2 Partes  Con Logo.  Tintas 1 X 0  Bond 56 Gms Cajas 1500 hojas</t>
  </si>
  <si>
    <t>Formas Cont. 9 1/2 X 13 A 3 Partes Con Logo. Tintas 1 X 0  Bond 56 Gms Caja de 1000 hojas</t>
  </si>
  <si>
    <t>Ganchos para cosedora semi - industrial (ref.: 23/10 Cajas de 1000 unidades</t>
  </si>
  <si>
    <t xml:space="preserve">Película Para Fax Panasonic Ref.: Kxfa - 133 </t>
  </si>
  <si>
    <t>Cazuelas de diferentes mededidas</t>
  </si>
  <si>
    <t>Pegante colbon  Para Papel  x 225 y 260 Grms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</si>
</sst>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&quot;$&quot;#,##0.00_);\(&quot;$&quot;#,##0.00\)"/>
    <numFmt numFmtId="167" formatCode="_-* #,##0\ _P_t_a_-;\-* #,##0\ _P_t_a_-;_-* &quot;-&quot;\ _P_t_a_-;_-@_-"/>
    <numFmt numFmtId="168" formatCode="_-* #,##0.00\ _P_t_a_-;\-* #,##0.00\ _P_t_a_-;_-* &quot;-&quot;??\ _P_t_a_-;_-@_-"/>
    <numFmt numFmtId="169" formatCode="_-* #,##0\ _P_t_s_-;\-* #,##0\ _P_t_s_-;_-* &quot;-&quot;\ _P_t_s_-;_-@_-"/>
    <numFmt numFmtId="170" formatCode="&quot;$&quot;#,##0.00;[Red]&quot;$&quot;#,##0.00"/>
    <numFmt numFmtId="171" formatCode="0;[Red]0"/>
    <numFmt numFmtId="172" formatCode="0_ ;\-0\ "/>
    <numFmt numFmtId="173" formatCode="0.0;[Red]0.0"/>
    <numFmt numFmtId="174" formatCode="[$$-240A]\ #,##0;[$$-240A]\ \-#,##0"/>
    <numFmt numFmtId="175" formatCode="#,##0;[Red]#,##0"/>
    <numFmt numFmtId="176" formatCode="#,##0.00;[Red]#,##0.00"/>
    <numFmt numFmtId="177" formatCode="[$$-240A]\ #,##0.0;[$$-240A]\ \-#,##0.0"/>
    <numFmt numFmtId="178" formatCode="General_)"/>
    <numFmt numFmtId="179" formatCode="[$$-240A]\ #,##0.00"/>
    <numFmt numFmtId="180" formatCode="[$$-240A]\ #,##0.00;[Red][$$-240A]\ #,##0.00"/>
    <numFmt numFmtId="181" formatCode="&quot;$&quot;#,##0;[Red]&quot;$&quot;#,##0"/>
    <numFmt numFmtId="182" formatCode="0.0000;[Red]0.0000"/>
    <numFmt numFmtId="183" formatCode="#,##0.00\ _p_t_a;[Red]#,##0.00\ _p_t_a"/>
    <numFmt numFmtId="184" formatCode="[$$-240A]\ #,##0;[Red][$$-240A]\ #,##0"/>
    <numFmt numFmtId="185" formatCode="&quot;$&quot;\ #,##0.00;[Red]&quot;$&quot;\ #,##0.00"/>
    <numFmt numFmtId="186" formatCode="&quot;$&quot;\ #,##0;[Red]&quot;$&quot;\ #,##0"/>
    <numFmt numFmtId="187" formatCode="_-* #,##0.00\ _P_t_s_-;\-* #,##0.00\ _P_t_s_-;_-* &quot;-&quot;\ _P_t_s_-;_-@_-"/>
    <numFmt numFmtId="188" formatCode="&quot;$&quot;#,##0.0;[Red]&quot;$&quot;#,##0.0"/>
    <numFmt numFmtId="189" formatCode="_-* #,##0.00_-;\-* #,##0.00_-;_-* &quot;-&quot;_-;_-@_-"/>
    <numFmt numFmtId="190" formatCode="_-* #,##0.00\ _p_t_a_-;\-* #,##0.00\ _p_t_a_-;_-* &quot;-&quot;??\ _p_t_a_-;_-@_-"/>
    <numFmt numFmtId="191" formatCode="&quot;$&quot;\ #,##0.00"/>
    <numFmt numFmtId="192" formatCode="[$$-240A]\ #,##0"/>
  </numFmts>
  <fonts count="61">
    <font>
      <sz val="10"/>
      <name val="Arial"/>
      <family val="0"/>
    </font>
    <font>
      <b/>
      <sz val="10"/>
      <name val="Arial"/>
      <family val="2"/>
    </font>
    <font>
      <b/>
      <sz val="13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sz val="13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3"/>
      <color indexed="57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48"/>
      <name val="Arial"/>
      <family val="2"/>
    </font>
    <font>
      <u val="single"/>
      <sz val="8.5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48"/>
      <name val="Arial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8"/>
      <name val="Arial"/>
      <family val="2"/>
    </font>
    <font>
      <i/>
      <sz val="10"/>
      <name val="Brush Script MT"/>
      <family val="4"/>
    </font>
    <font>
      <sz val="11"/>
      <color indexed="22"/>
      <name val="Arial"/>
      <family val="2"/>
    </font>
    <font>
      <b/>
      <sz val="8"/>
      <name val="Tahoma"/>
      <family val="0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11"/>
      <color indexed="10"/>
      <name val="Arial"/>
      <family val="2"/>
    </font>
    <font>
      <sz val="11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0"/>
      <color indexed="4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7"/>
      <name val="Arial"/>
      <family val="0"/>
    </font>
    <font>
      <sz val="10"/>
      <name val="Garamond"/>
      <family val="1"/>
    </font>
    <font>
      <sz val="11"/>
      <name val="Garamond"/>
      <family val="1"/>
    </font>
    <font>
      <sz val="11"/>
      <color indexed="48"/>
      <name val="Arial"/>
      <family val="2"/>
    </font>
    <font>
      <b/>
      <sz val="16"/>
      <color indexed="12"/>
      <name val="Arial"/>
      <family val="2"/>
    </font>
    <font>
      <sz val="10"/>
      <color indexed="8"/>
      <name val="Garamond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4" fontId="10" fillId="0" borderId="6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4" fontId="12" fillId="0" borderId="7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/>
    </xf>
    <xf numFmtId="4" fontId="10" fillId="0" borderId="7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4" fontId="0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13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4" fontId="0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1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/>
    </xf>
    <xf numFmtId="4" fontId="11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0" fontId="0" fillId="0" borderId="7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0" fontId="4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4" fontId="13" fillId="0" borderId="7" xfId="0" applyNumberFormat="1" applyFont="1" applyBorder="1" applyAlignment="1">
      <alignment wrapText="1"/>
    </xf>
    <xf numFmtId="4" fontId="12" fillId="0" borderId="7" xfId="0" applyNumberFormat="1" applyFont="1" applyBorder="1" applyAlignment="1">
      <alignment horizontal="center" wrapText="1"/>
    </xf>
    <xf numFmtId="3" fontId="10" fillId="0" borderId="7" xfId="0" applyNumberFormat="1" applyFont="1" applyBorder="1" applyAlignment="1">
      <alignment wrapText="1"/>
    </xf>
    <xf numFmtId="4" fontId="10" fillId="0" borderId="7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4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0" fontId="3" fillId="0" borderId="6" xfId="0" applyFont="1" applyBorder="1" applyAlignment="1">
      <alignment/>
    </xf>
    <xf numFmtId="4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14" fillId="0" borderId="9" xfId="0" applyNumberFormat="1" applyFont="1" applyBorder="1" applyAlignment="1">
      <alignment horizontal="center"/>
    </xf>
    <xf numFmtId="3" fontId="14" fillId="0" borderId="9" xfId="0" applyNumberFormat="1" applyFont="1" applyBorder="1" applyAlignment="1">
      <alignment/>
    </xf>
    <xf numFmtId="4" fontId="15" fillId="0" borderId="10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4" fontId="16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13" fillId="0" borderId="7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0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18" fillId="0" borderId="7" xfId="0" applyFont="1" applyBorder="1" applyAlignment="1">
      <alignment/>
    </xf>
    <xf numFmtId="4" fontId="4" fillId="2" borderId="7" xfId="0" applyNumberFormat="1" applyFont="1" applyFill="1" applyBorder="1" applyAlignment="1">
      <alignment/>
    </xf>
    <xf numFmtId="3" fontId="4" fillId="0" borderId="7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14" xfId="0" applyNumberForma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4" fontId="0" fillId="0" borderId="2" xfId="0" applyNumberFormat="1" applyFont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wrapText="1"/>
    </xf>
    <xf numFmtId="4" fontId="21" fillId="0" borderId="7" xfId="0" applyNumberFormat="1" applyFont="1" applyBorder="1" applyAlignment="1">
      <alignment/>
    </xf>
    <xf numFmtId="4" fontId="23" fillId="0" borderId="7" xfId="0" applyNumberFormat="1" applyFont="1" applyBorder="1" applyAlignment="1">
      <alignment/>
    </xf>
    <xf numFmtId="4" fontId="23" fillId="0" borderId="7" xfId="0" applyNumberFormat="1" applyFont="1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16" fontId="0" fillId="0" borderId="7" xfId="0" applyNumberFormat="1" applyFont="1" applyFill="1" applyBorder="1" applyAlignment="1">
      <alignment horizontal="center"/>
    </xf>
    <xf numFmtId="0" fontId="0" fillId="2" borderId="15" xfId="0" applyFill="1" applyBorder="1" applyAlignment="1">
      <alignment/>
    </xf>
    <xf numFmtId="167" fontId="0" fillId="2" borderId="15" xfId="18" applyFont="1" applyFill="1" applyBorder="1" applyAlignment="1">
      <alignment/>
    </xf>
    <xf numFmtId="167" fontId="0" fillId="2" borderId="7" xfId="18" applyFill="1" applyBorder="1" applyAlignment="1">
      <alignment/>
    </xf>
    <xf numFmtId="167" fontId="0" fillId="2" borderId="7" xfId="18" applyFont="1" applyFill="1" applyBorder="1" applyAlignment="1">
      <alignment/>
    </xf>
    <xf numFmtId="167" fontId="0" fillId="2" borderId="16" xfId="18" applyFill="1" applyBorder="1" applyAlignment="1">
      <alignment/>
    </xf>
    <xf numFmtId="0" fontId="24" fillId="0" borderId="7" xfId="0" applyFont="1" applyBorder="1" applyAlignment="1">
      <alignment vertical="center"/>
    </xf>
    <xf numFmtId="3" fontId="18" fillId="0" borderId="7" xfId="0" applyNumberFormat="1" applyFont="1" applyBorder="1" applyAlignment="1">
      <alignment horizontal="right"/>
    </xf>
    <xf numFmtId="3" fontId="18" fillId="2" borderId="7" xfId="0" applyNumberFormat="1" applyFont="1" applyFill="1" applyBorder="1" applyAlignment="1">
      <alignment horizontal="right"/>
    </xf>
    <xf numFmtId="3" fontId="18" fillId="0" borderId="2" xfId="0" applyNumberFormat="1" applyFont="1" applyBorder="1" applyAlignment="1">
      <alignment horizontal="right"/>
    </xf>
    <xf numFmtId="172" fontId="0" fillId="0" borderId="14" xfId="0" applyNumberFormat="1" applyFill="1" applyBorder="1" applyAlignment="1">
      <alignment horizontal="right"/>
    </xf>
    <xf numFmtId="172" fontId="0" fillId="2" borderId="14" xfId="0" applyNumberFormat="1" applyFill="1" applyBorder="1" applyAlignment="1">
      <alignment horizontal="right"/>
    </xf>
    <xf numFmtId="4" fontId="18" fillId="0" borderId="7" xfId="0" applyNumberFormat="1" applyFont="1" applyBorder="1" applyAlignment="1">
      <alignment/>
    </xf>
    <xf numFmtId="4" fontId="25" fillId="0" borderId="7" xfId="0" applyNumberFormat="1" applyFont="1" applyBorder="1" applyAlignment="1">
      <alignment/>
    </xf>
    <xf numFmtId="174" fontId="19" fillId="0" borderId="14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3" fontId="20" fillId="0" borderId="7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3" fontId="25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0" fillId="0" borderId="7" xfId="0" applyNumberFormat="1" applyFill="1" applyBorder="1" applyAlignment="1">
      <alignment horizontal="right"/>
    </xf>
    <xf numFmtId="172" fontId="0" fillId="0" borderId="7" xfId="0" applyNumberFormat="1" applyFill="1" applyBorder="1" applyAlignment="1">
      <alignment horizontal="right"/>
    </xf>
    <xf numFmtId="172" fontId="0" fillId="2" borderId="7" xfId="0" applyNumberFormat="1" applyFill="1" applyBorder="1" applyAlignment="1">
      <alignment horizontal="right"/>
    </xf>
    <xf numFmtId="172" fontId="0" fillId="0" borderId="0" xfId="0" applyNumberFormat="1" applyFill="1" applyAlignment="1">
      <alignment horizontal="right"/>
    </xf>
    <xf numFmtId="172" fontId="0" fillId="0" borderId="16" xfId="0" applyNumberForma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3" fontId="4" fillId="0" borderId="17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4" fillId="0" borderId="17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74" fontId="19" fillId="0" borderId="7" xfId="0" applyNumberFormat="1" applyFont="1" applyFill="1" applyBorder="1" applyAlignment="1">
      <alignment horizontal="right"/>
    </xf>
    <xf numFmtId="174" fontId="4" fillId="0" borderId="7" xfId="0" applyNumberFormat="1" applyFont="1" applyFill="1" applyBorder="1" applyAlignment="1">
      <alignment horizontal="right"/>
    </xf>
    <xf numFmtId="174" fontId="4" fillId="2" borderId="7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167" fontId="0" fillId="2" borderId="14" xfId="18" applyFill="1" applyBorder="1" applyAlignment="1">
      <alignment/>
    </xf>
    <xf numFmtId="0" fontId="0" fillId="0" borderId="16" xfId="0" applyNumberFormat="1" applyFill="1" applyBorder="1" applyAlignment="1">
      <alignment horizontal="right"/>
    </xf>
    <xf numFmtId="0" fontId="0" fillId="2" borderId="7" xfId="0" applyNumberFormat="1" applyFill="1" applyBorder="1" applyAlignment="1">
      <alignment horizontal="right"/>
    </xf>
    <xf numFmtId="172" fontId="0" fillId="2" borderId="15" xfId="0" applyNumberFormat="1" applyFill="1" applyBorder="1" applyAlignment="1">
      <alignment horizontal="right"/>
    </xf>
    <xf numFmtId="4" fontId="18" fillId="0" borderId="14" xfId="0" applyNumberFormat="1" applyFont="1" applyBorder="1" applyAlignment="1">
      <alignment/>
    </xf>
    <xf numFmtId="171" fontId="4" fillId="0" borderId="14" xfId="0" applyNumberFormat="1" applyFont="1" applyBorder="1" applyAlignment="1">
      <alignment/>
    </xf>
    <xf numFmtId="171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9" fontId="0" fillId="0" borderId="19" xfId="0" applyNumberFormat="1" applyBorder="1" applyAlignment="1">
      <alignment/>
    </xf>
    <xf numFmtId="0" fontId="1" fillId="0" borderId="18" xfId="0" applyFont="1" applyBorder="1" applyAlignment="1">
      <alignment horizontal="right"/>
    </xf>
    <xf numFmtId="179" fontId="1" fillId="3" borderId="19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9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179" fontId="0" fillId="0" borderId="0" xfId="0" applyNumberFormat="1" applyBorder="1" applyAlignment="1">
      <alignment/>
    </xf>
    <xf numFmtId="175" fontId="22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3" fontId="13" fillId="0" borderId="7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172" fontId="0" fillId="0" borderId="11" xfId="0" applyNumberFormat="1" applyFill="1" applyBorder="1" applyAlignment="1">
      <alignment horizontal="right"/>
    </xf>
    <xf numFmtId="0" fontId="24" fillId="0" borderId="7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4" fillId="0" borderId="7" xfId="0" applyFont="1" applyBorder="1" applyAlignment="1">
      <alignment horizontal="right" wrapText="1"/>
    </xf>
    <xf numFmtId="0" fontId="18" fillId="0" borderId="6" xfId="0" applyFont="1" applyBorder="1" applyAlignment="1">
      <alignment/>
    </xf>
    <xf numFmtId="4" fontId="6" fillId="0" borderId="18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" fontId="5" fillId="0" borderId="18" xfId="0" applyNumberFormat="1" applyFont="1" applyBorder="1" applyAlignment="1">
      <alignment horizontal="center"/>
    </xf>
    <xf numFmtId="3" fontId="18" fillId="0" borderId="6" xfId="0" applyNumberFormat="1" applyFont="1" applyBorder="1" applyAlignment="1">
      <alignment/>
    </xf>
    <xf numFmtId="4" fontId="18" fillId="0" borderId="6" xfId="0" applyNumberFormat="1" applyFont="1" applyBorder="1" applyAlignment="1">
      <alignment/>
    </xf>
    <xf numFmtId="0" fontId="31" fillId="4" borderId="23" xfId="0" applyFont="1" applyFill="1" applyBorder="1" applyAlignment="1">
      <alignment horizontal="center"/>
    </xf>
    <xf numFmtId="0" fontId="31" fillId="4" borderId="24" xfId="0" applyFont="1" applyFill="1" applyBorder="1" applyAlignment="1">
      <alignment horizontal="center"/>
    </xf>
    <xf numFmtId="0" fontId="32" fillId="4" borderId="24" xfId="0" applyFont="1" applyFill="1" applyBorder="1" applyAlignment="1">
      <alignment/>
    </xf>
    <xf numFmtId="0" fontId="32" fillId="4" borderId="25" xfId="0" applyFont="1" applyFill="1" applyBorder="1" applyAlignment="1">
      <alignment/>
    </xf>
    <xf numFmtId="0" fontId="32" fillId="4" borderId="2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171" fontId="0" fillId="0" borderId="14" xfId="0" applyNumberFormat="1" applyFill="1" applyBorder="1" applyAlignment="1">
      <alignment horizontal="right"/>
    </xf>
    <xf numFmtId="3" fontId="10" fillId="0" borderId="7" xfId="0" applyNumberFormat="1" applyFont="1" applyBorder="1" applyAlignment="1">
      <alignment horizontal="center"/>
    </xf>
    <xf numFmtId="171" fontId="1" fillId="0" borderId="14" xfId="0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171" fontId="0" fillId="0" borderId="11" xfId="0" applyNumberFormat="1" applyFill="1" applyBorder="1" applyAlignment="1">
      <alignment horizontal="right"/>
    </xf>
    <xf numFmtId="171" fontId="0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/>
    </xf>
    <xf numFmtId="171" fontId="4" fillId="0" borderId="7" xfId="0" applyNumberFormat="1" applyFont="1" applyBorder="1" applyAlignment="1">
      <alignment/>
    </xf>
    <xf numFmtId="3" fontId="0" fillId="0" borderId="7" xfId="0" applyNumberForma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wrapText="1"/>
    </xf>
    <xf numFmtId="171" fontId="13" fillId="0" borderId="7" xfId="0" applyNumberFormat="1" applyFont="1" applyBorder="1" applyAlignment="1">
      <alignment wrapText="1"/>
    </xf>
    <xf numFmtId="3" fontId="10" fillId="0" borderId="7" xfId="0" applyNumberFormat="1" applyFont="1" applyBorder="1" applyAlignment="1">
      <alignment horizontal="center" wrapText="1"/>
    </xf>
    <xf numFmtId="171" fontId="10" fillId="0" borderId="7" xfId="0" applyNumberFormat="1" applyFont="1" applyBorder="1" applyAlignment="1">
      <alignment/>
    </xf>
    <xf numFmtId="171" fontId="0" fillId="2" borderId="16" xfId="18" applyNumberFormat="1" applyFill="1" applyBorder="1" applyAlignment="1">
      <alignment/>
    </xf>
    <xf numFmtId="3" fontId="4" fillId="0" borderId="7" xfId="0" applyNumberFormat="1" applyFont="1" applyBorder="1" applyAlignment="1">
      <alignment horizontal="right"/>
    </xf>
    <xf numFmtId="171" fontId="0" fillId="2" borderId="7" xfId="18" applyNumberFormat="1" applyFill="1" applyBorder="1" applyAlignment="1">
      <alignment/>
    </xf>
    <xf numFmtId="171" fontId="0" fillId="0" borderId="7" xfId="0" applyNumberFormat="1" applyFill="1" applyBorder="1" applyAlignment="1">
      <alignment horizontal="right"/>
    </xf>
    <xf numFmtId="171" fontId="24" fillId="2" borderId="14" xfId="18" applyNumberFormat="1" applyFont="1" applyFill="1" applyBorder="1" applyAlignment="1">
      <alignment/>
    </xf>
    <xf numFmtId="171" fontId="24" fillId="0" borderId="14" xfId="0" applyNumberFormat="1" applyFont="1" applyBorder="1" applyAlignment="1">
      <alignment/>
    </xf>
    <xf numFmtId="171" fontId="0" fillId="0" borderId="21" xfId="0" applyNumberFormat="1" applyFill="1" applyBorder="1" applyAlignment="1">
      <alignment horizontal="right"/>
    </xf>
    <xf numFmtId="171" fontId="0" fillId="2" borderId="14" xfId="18" applyNumberFormat="1" applyFill="1" applyBorder="1" applyAlignment="1">
      <alignment/>
    </xf>
    <xf numFmtId="171" fontId="0" fillId="2" borderId="14" xfId="0" applyNumberFormat="1" applyFill="1" applyBorder="1" applyAlignment="1">
      <alignment horizontal="right"/>
    </xf>
    <xf numFmtId="171" fontId="0" fillId="0" borderId="14" xfId="0" applyNumberFormat="1" applyFont="1" applyFill="1" applyBorder="1" applyAlignment="1">
      <alignment horizontal="right"/>
    </xf>
    <xf numFmtId="171" fontId="4" fillId="0" borderId="7" xfId="0" applyNumberFormat="1" applyFont="1" applyFill="1" applyBorder="1" applyAlignment="1">
      <alignment horizontal="right"/>
    </xf>
    <xf numFmtId="171" fontId="4" fillId="2" borderId="14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18" fillId="2" borderId="2" xfId="0" applyNumberFormat="1" applyFont="1" applyFill="1" applyBorder="1" applyAlignment="1">
      <alignment horizontal="right"/>
    </xf>
    <xf numFmtId="171" fontId="0" fillId="2" borderId="7" xfId="0" applyNumberFormat="1" applyFill="1" applyBorder="1" applyAlignment="1">
      <alignment horizontal="right"/>
    </xf>
    <xf numFmtId="171" fontId="0" fillId="0" borderId="16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3" fontId="18" fillId="0" borderId="0" xfId="0" applyNumberFormat="1" applyFont="1" applyAlignment="1">
      <alignment horizontal="right"/>
    </xf>
    <xf numFmtId="171" fontId="0" fillId="0" borderId="0" xfId="0" applyNumberFormat="1" applyFill="1" applyAlignment="1">
      <alignment horizontal="right"/>
    </xf>
    <xf numFmtId="171" fontId="0" fillId="2" borderId="7" xfId="18" applyNumberFormat="1" applyFont="1" applyFill="1" applyBorder="1" applyAlignment="1">
      <alignment/>
    </xf>
    <xf numFmtId="171" fontId="4" fillId="0" borderId="16" xfId="0" applyNumberFormat="1" applyFont="1" applyBorder="1" applyAlignment="1">
      <alignment/>
    </xf>
    <xf numFmtId="171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5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71" fontId="0" fillId="0" borderId="30" xfId="0" applyNumberForma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171" fontId="0" fillId="0" borderId="31" xfId="0" applyNumberFormat="1" applyFill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171" fontId="13" fillId="0" borderId="11" xfId="0" applyNumberFormat="1" applyFont="1" applyBorder="1" applyAlignment="1">
      <alignment wrapText="1"/>
    </xf>
    <xf numFmtId="4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7" fillId="0" borderId="2" xfId="0" applyFont="1" applyBorder="1" applyAlignment="1">
      <alignment/>
    </xf>
    <xf numFmtId="0" fontId="27" fillId="0" borderId="3" xfId="0" applyFont="1" applyBorder="1" applyAlignment="1">
      <alignment/>
    </xf>
    <xf numFmtId="4" fontId="28" fillId="0" borderId="7" xfId="0" applyNumberFormat="1" applyFont="1" applyBorder="1" applyAlignment="1">
      <alignment/>
    </xf>
    <xf numFmtId="0" fontId="28" fillId="0" borderId="7" xfId="0" applyFont="1" applyBorder="1" applyAlignment="1">
      <alignment/>
    </xf>
    <xf numFmtId="0" fontId="33" fillId="0" borderId="2" xfId="0" applyFont="1" applyBorder="1" applyAlignment="1">
      <alignment/>
    </xf>
    <xf numFmtId="0" fontId="18" fillId="0" borderId="2" xfId="0" applyFont="1" applyBorder="1" applyAlignment="1">
      <alignment/>
    </xf>
    <xf numFmtId="0" fontId="5" fillId="0" borderId="4" xfId="0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6" fillId="0" borderId="2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171" fontId="0" fillId="0" borderId="27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73" fontId="1" fillId="0" borderId="14" xfId="0" applyNumberFormat="1" applyFont="1" applyFill="1" applyBorder="1" applyAlignment="1">
      <alignment horizontal="center"/>
    </xf>
    <xf numFmtId="173" fontId="0" fillId="0" borderId="14" xfId="0" applyNumberFormat="1" applyFill="1" applyBorder="1" applyAlignment="1">
      <alignment horizontal="right"/>
    </xf>
    <xf numFmtId="173" fontId="1" fillId="0" borderId="14" xfId="0" applyNumberFormat="1" applyFont="1" applyFill="1" applyBorder="1" applyAlignment="1">
      <alignment horizontal="right"/>
    </xf>
    <xf numFmtId="173" fontId="0" fillId="2" borderId="14" xfId="0" applyNumberFormat="1" applyFill="1" applyBorder="1" applyAlignment="1">
      <alignment horizontal="right"/>
    </xf>
    <xf numFmtId="171" fontId="18" fillId="2" borderId="2" xfId="0" applyNumberFormat="1" applyFont="1" applyFill="1" applyBorder="1" applyAlignment="1">
      <alignment horizontal="right"/>
    </xf>
    <xf numFmtId="3" fontId="20" fillId="2" borderId="7" xfId="0" applyNumberFormat="1" applyFont="1" applyFill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4" fontId="19" fillId="0" borderId="7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/>
    </xf>
    <xf numFmtId="167" fontId="19" fillId="2" borderId="16" xfId="18" applyFont="1" applyFill="1" applyBorder="1" applyAlignment="1">
      <alignment/>
    </xf>
    <xf numFmtId="4" fontId="19" fillId="0" borderId="14" xfId="0" applyNumberFormat="1" applyFont="1" applyBorder="1" applyAlignment="1">
      <alignment/>
    </xf>
    <xf numFmtId="3" fontId="19" fillId="2" borderId="15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4" fontId="0" fillId="0" borderId="17" xfId="0" applyNumberFormat="1" applyFont="1" applyBorder="1" applyAlignment="1">
      <alignment horizontal="center"/>
    </xf>
    <xf numFmtId="178" fontId="27" fillId="0" borderId="17" xfId="0" applyNumberFormat="1" applyFont="1" applyFill="1" applyBorder="1" applyAlignment="1" applyProtection="1">
      <alignment horizontal="left"/>
      <protection/>
    </xf>
    <xf numFmtId="178" fontId="27" fillId="0" borderId="2" xfId="0" applyNumberFormat="1" applyFont="1" applyFill="1" applyBorder="1" applyAlignment="1" applyProtection="1">
      <alignment horizontal="left"/>
      <protection/>
    </xf>
    <xf numFmtId="178" fontId="25" fillId="0" borderId="6" xfId="0" applyNumberFormat="1" applyFont="1" applyFill="1" applyBorder="1" applyAlignment="1" applyProtection="1">
      <alignment horizontal="left"/>
      <protection/>
    </xf>
    <xf numFmtId="4" fontId="17" fillId="0" borderId="7" xfId="0" applyNumberFormat="1" applyFont="1" applyBorder="1" applyAlignment="1">
      <alignment/>
    </xf>
    <xf numFmtId="171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left"/>
    </xf>
    <xf numFmtId="3" fontId="17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4" fontId="28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77" fontId="0" fillId="2" borderId="0" xfId="0" applyNumberFormat="1" applyFill="1" applyAlignment="1">
      <alignment/>
    </xf>
    <xf numFmtId="0" fontId="38" fillId="0" borderId="0" xfId="0" applyFont="1" applyAlignment="1">
      <alignment/>
    </xf>
    <xf numFmtId="170" fontId="0" fillId="0" borderId="12" xfId="0" applyNumberFormat="1" applyBorder="1" applyAlignment="1">
      <alignment/>
    </xf>
    <xf numFmtId="3" fontId="4" fillId="0" borderId="27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1" fillId="2" borderId="0" xfId="0" applyFont="1" applyFill="1" applyAlignment="1">
      <alignment horizontal="center"/>
    </xf>
    <xf numFmtId="3" fontId="19" fillId="2" borderId="0" xfId="0" applyNumberFormat="1" applyFont="1" applyFill="1" applyBorder="1" applyAlignment="1">
      <alignment horizontal="right"/>
    </xf>
    <xf numFmtId="0" fontId="0" fillId="2" borderId="34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35" xfId="0" applyBorder="1" applyAlignment="1">
      <alignment/>
    </xf>
    <xf numFmtId="180" fontId="0" fillId="0" borderId="0" xfId="0" applyNumberFormat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wrapText="1"/>
    </xf>
    <xf numFmtId="4" fontId="23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175" fontId="2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21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4" fontId="36" fillId="0" borderId="0" xfId="0" applyNumberFormat="1" applyFont="1" applyBorder="1" applyAlignment="1">
      <alignment/>
    </xf>
    <xf numFmtId="182" fontId="0" fillId="0" borderId="0" xfId="0" applyNumberFormat="1" applyAlignment="1">
      <alignment/>
    </xf>
    <xf numFmtId="180" fontId="0" fillId="0" borderId="12" xfId="0" applyNumberFormat="1" applyBorder="1" applyAlignment="1">
      <alignment/>
    </xf>
    <xf numFmtId="183" fontId="21" fillId="0" borderId="3" xfId="0" applyNumberFormat="1" applyFont="1" applyBorder="1" applyAlignment="1">
      <alignment/>
    </xf>
    <xf numFmtId="180" fontId="1" fillId="2" borderId="7" xfId="0" applyNumberFormat="1" applyFont="1" applyFill="1" applyBorder="1" applyAlignment="1">
      <alignment/>
    </xf>
    <xf numFmtId="180" fontId="0" fillId="0" borderId="2" xfId="0" applyNumberFormat="1" applyBorder="1" applyAlignment="1">
      <alignment/>
    </xf>
    <xf numFmtId="180" fontId="1" fillId="2" borderId="2" xfId="0" applyNumberFormat="1" applyFont="1" applyFill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180" fontId="1" fillId="3" borderId="20" xfId="0" applyNumberFormat="1" applyFont="1" applyFill="1" applyBorder="1" applyAlignment="1">
      <alignment/>
    </xf>
    <xf numFmtId="180" fontId="0" fillId="0" borderId="5" xfId="0" applyNumberFormat="1" applyBorder="1" applyAlignment="1">
      <alignment/>
    </xf>
    <xf numFmtId="0" fontId="0" fillId="0" borderId="36" xfId="0" applyBorder="1" applyAlignment="1">
      <alignment/>
    </xf>
    <xf numFmtId="183" fontId="0" fillId="0" borderId="4" xfId="0" applyNumberFormat="1" applyBorder="1" applyAlignment="1">
      <alignment/>
    </xf>
    <xf numFmtId="180" fontId="1" fillId="0" borderId="37" xfId="0" applyNumberFormat="1" applyFont="1" applyBorder="1" applyAlignment="1">
      <alignment/>
    </xf>
    <xf numFmtId="180" fontId="1" fillId="2" borderId="37" xfId="0" applyNumberFormat="1" applyFont="1" applyFill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40" xfId="0" applyNumberFormat="1" applyBorder="1" applyAlignment="1">
      <alignment/>
    </xf>
    <xf numFmtId="180" fontId="0" fillId="0" borderId="11" xfId="0" applyNumberFormat="1" applyBorder="1" applyAlignment="1">
      <alignment/>
    </xf>
    <xf numFmtId="179" fontId="1" fillId="3" borderId="11" xfId="0" applyNumberFormat="1" applyFont="1" applyFill="1" applyBorder="1" applyAlignment="1">
      <alignment/>
    </xf>
    <xf numFmtId="179" fontId="1" fillId="3" borderId="12" xfId="0" applyNumberFormat="1" applyFont="1" applyFill="1" applyBorder="1" applyAlignment="1">
      <alignment/>
    </xf>
    <xf numFmtId="183" fontId="42" fillId="0" borderId="3" xfId="0" applyNumberFormat="1" applyFont="1" applyBorder="1" applyAlignment="1">
      <alignment horizontal="right"/>
    </xf>
    <xf numFmtId="180" fontId="1" fillId="3" borderId="7" xfId="0" applyNumberFormat="1" applyFont="1" applyFill="1" applyBorder="1" applyAlignment="1">
      <alignment/>
    </xf>
    <xf numFmtId="0" fontId="0" fillId="0" borderId="41" xfId="0" applyBorder="1" applyAlignment="1">
      <alignment/>
    </xf>
    <xf numFmtId="180" fontId="0" fillId="0" borderId="42" xfId="0" applyNumberFormat="1" applyBorder="1" applyAlignment="1">
      <alignment/>
    </xf>
    <xf numFmtId="180" fontId="0" fillId="3" borderId="43" xfId="0" applyNumberFormat="1" applyFill="1" applyBorder="1" applyAlignment="1">
      <alignment/>
    </xf>
    <xf numFmtId="0" fontId="25" fillId="0" borderId="44" xfId="0" applyFont="1" applyBorder="1" applyAlignment="1">
      <alignment/>
    </xf>
    <xf numFmtId="0" fontId="0" fillId="0" borderId="44" xfId="0" applyBorder="1" applyAlignment="1">
      <alignment/>
    </xf>
    <xf numFmtId="180" fontId="1" fillId="3" borderId="43" xfId="0" applyNumberFormat="1" applyFont="1" applyFill="1" applyBorder="1" applyAlignment="1">
      <alignment/>
    </xf>
    <xf numFmtId="180" fontId="0" fillId="0" borderId="43" xfId="0" applyNumberFormat="1" applyBorder="1" applyAlignment="1">
      <alignment/>
    </xf>
    <xf numFmtId="0" fontId="25" fillId="0" borderId="45" xfId="0" applyFont="1" applyBorder="1" applyAlignment="1">
      <alignment/>
    </xf>
    <xf numFmtId="0" fontId="0" fillId="0" borderId="45" xfId="0" applyBorder="1" applyAlignment="1">
      <alignment/>
    </xf>
    <xf numFmtId="180" fontId="0" fillId="0" borderId="45" xfId="0" applyNumberFormat="1" applyBorder="1" applyAlignment="1">
      <alignment/>
    </xf>
    <xf numFmtId="180" fontId="0" fillId="0" borderId="41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8" xfId="0" applyFont="1" applyBorder="1" applyAlignment="1">
      <alignment/>
    </xf>
    <xf numFmtId="180" fontId="0" fillId="3" borderId="7" xfId="0" applyNumberFormat="1" applyFont="1" applyFill="1" applyBorder="1" applyAlignment="1">
      <alignment/>
    </xf>
    <xf numFmtId="180" fontId="0" fillId="3" borderId="12" xfId="0" applyNumberFormat="1" applyFill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179" fontId="41" fillId="0" borderId="5" xfId="0" applyNumberFormat="1" applyFont="1" applyBorder="1" applyAlignment="1">
      <alignment/>
    </xf>
    <xf numFmtId="0" fontId="20" fillId="0" borderId="5" xfId="0" applyFont="1" applyBorder="1" applyAlignment="1">
      <alignment/>
    </xf>
    <xf numFmtId="170" fontId="20" fillId="0" borderId="12" xfId="0" applyNumberFormat="1" applyFont="1" applyBorder="1" applyAlignment="1">
      <alignment/>
    </xf>
    <xf numFmtId="0" fontId="19" fillId="0" borderId="46" xfId="0" applyFont="1" applyBorder="1" applyAlignment="1">
      <alignment vertical="top" wrapText="1"/>
    </xf>
    <xf numFmtId="181" fontId="19" fillId="2" borderId="37" xfId="17" applyNumberFormat="1" applyFont="1" applyFill="1" applyBorder="1" applyAlignment="1">
      <alignment horizontal="right" vertical="top" wrapText="1"/>
    </xf>
    <xf numFmtId="184" fontId="19" fillId="2" borderId="15" xfId="18" applyNumberFormat="1" applyFont="1" applyFill="1" applyBorder="1" applyAlignment="1">
      <alignment/>
    </xf>
    <xf numFmtId="3" fontId="19" fillId="2" borderId="37" xfId="0" applyNumberFormat="1" applyFont="1" applyFill="1" applyBorder="1" applyAlignment="1">
      <alignment horizontal="right"/>
    </xf>
    <xf numFmtId="184" fontId="0" fillId="2" borderId="2" xfId="18" applyNumberFormat="1" applyFont="1" applyFill="1" applyBorder="1" applyAlignment="1">
      <alignment/>
    </xf>
    <xf numFmtId="3" fontId="0" fillId="0" borderId="2" xfId="0" applyNumberFormat="1" applyBorder="1" applyAlignment="1">
      <alignment horizontal="right"/>
    </xf>
    <xf numFmtId="180" fontId="19" fillId="0" borderId="2" xfId="0" applyNumberFormat="1" applyFont="1" applyBorder="1" applyAlignment="1">
      <alignment horizontal="right" vertical="center"/>
    </xf>
    <xf numFmtId="1" fontId="19" fillId="2" borderId="15" xfId="0" applyNumberFormat="1" applyFont="1" applyFill="1" applyBorder="1" applyAlignment="1">
      <alignment horizontal="right"/>
    </xf>
    <xf numFmtId="1" fontId="0" fillId="2" borderId="16" xfId="0" applyNumberForma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184" fontId="4" fillId="2" borderId="15" xfId="18" applyNumberFormat="1" applyFont="1" applyFill="1" applyBorder="1" applyAlignment="1">
      <alignment/>
    </xf>
    <xf numFmtId="179" fontId="0" fillId="2" borderId="0" xfId="0" applyNumberFormat="1" applyFill="1" applyAlignment="1">
      <alignment/>
    </xf>
    <xf numFmtId="16" fontId="44" fillId="0" borderId="0" xfId="0" applyNumberFormat="1" applyFont="1" applyAlignment="1">
      <alignment horizontal="right"/>
    </xf>
    <xf numFmtId="0" fontId="1" fillId="0" borderId="38" xfId="0" applyFont="1" applyBorder="1" applyAlignment="1">
      <alignment/>
    </xf>
    <xf numFmtId="0" fontId="45" fillId="0" borderId="7" xfId="0" applyFont="1" applyBorder="1" applyAlignment="1">
      <alignment/>
    </xf>
    <xf numFmtId="0" fontId="20" fillId="0" borderId="7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7" xfId="0" applyFont="1" applyBorder="1" applyAlignment="1">
      <alignment vertical="center"/>
    </xf>
    <xf numFmtId="0" fontId="24" fillId="0" borderId="0" xfId="0" applyFont="1" applyAlignment="1">
      <alignment/>
    </xf>
    <xf numFmtId="0" fontId="20" fillId="2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/>
    </xf>
    <xf numFmtId="4" fontId="18" fillId="0" borderId="39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0" fillId="0" borderId="16" xfId="0" applyBorder="1" applyAlignment="1">
      <alignment/>
    </xf>
    <xf numFmtId="0" fontId="46" fillId="0" borderId="7" xfId="0" applyFont="1" applyBorder="1" applyAlignment="1">
      <alignment/>
    </xf>
    <xf numFmtId="3" fontId="46" fillId="0" borderId="7" xfId="0" applyNumberFormat="1" applyFont="1" applyBorder="1" applyAlignment="1">
      <alignment/>
    </xf>
    <xf numFmtId="4" fontId="46" fillId="0" borderId="7" xfId="0" applyNumberFormat="1" applyFont="1" applyBorder="1" applyAlignment="1">
      <alignment/>
    </xf>
    <xf numFmtId="0" fontId="47" fillId="0" borderId="0" xfId="0" applyFont="1" applyAlignment="1">
      <alignment/>
    </xf>
    <xf numFmtId="3" fontId="47" fillId="0" borderId="7" xfId="0" applyNumberFormat="1" applyFont="1" applyBorder="1" applyAlignment="1">
      <alignment vertical="center"/>
    </xf>
    <xf numFmtId="0" fontId="48" fillId="2" borderId="0" xfId="0" applyFont="1" applyFill="1" applyAlignment="1">
      <alignment/>
    </xf>
    <xf numFmtId="0" fontId="31" fillId="4" borderId="47" xfId="0" applyFont="1" applyFill="1" applyBorder="1" applyAlignment="1">
      <alignment horizontal="center"/>
    </xf>
    <xf numFmtId="0" fontId="32" fillId="4" borderId="31" xfId="0" applyFont="1" applyFill="1" applyBorder="1" applyAlignment="1">
      <alignment/>
    </xf>
    <xf numFmtId="4" fontId="23" fillId="0" borderId="38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23" fillId="0" borderId="13" xfId="0" applyNumberFormat="1" applyFont="1" applyBorder="1" applyAlignment="1">
      <alignment/>
    </xf>
    <xf numFmtId="4" fontId="13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4" fontId="13" fillId="0" borderId="13" xfId="0" applyNumberFormat="1" applyFont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175" fontId="22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28" fillId="0" borderId="13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170" fontId="0" fillId="0" borderId="11" xfId="0" applyNumberFormat="1" applyBorder="1" applyAlignment="1">
      <alignment/>
    </xf>
    <xf numFmtId="4" fontId="36" fillId="0" borderId="11" xfId="0" applyNumberFormat="1" applyFont="1" applyBorder="1" applyAlignment="1">
      <alignment/>
    </xf>
    <xf numFmtId="4" fontId="27" fillId="0" borderId="11" xfId="0" applyNumberFormat="1" applyFont="1" applyBorder="1" applyAlignment="1">
      <alignment/>
    </xf>
    <xf numFmtId="4" fontId="27" fillId="0" borderId="48" xfId="0" applyNumberFormat="1" applyFont="1" applyBorder="1" applyAlignment="1">
      <alignment/>
    </xf>
    <xf numFmtId="0" fontId="49" fillId="5" borderId="6" xfId="0" applyFont="1" applyFill="1" applyBorder="1" applyAlignment="1">
      <alignment horizontal="center"/>
    </xf>
    <xf numFmtId="0" fontId="49" fillId="5" borderId="7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/>
    </xf>
    <xf numFmtId="170" fontId="0" fillId="0" borderId="7" xfId="0" applyNumberFormat="1" applyBorder="1" applyAlignment="1">
      <alignment/>
    </xf>
    <xf numFmtId="4" fontId="36" fillId="0" borderId="7" xfId="0" applyNumberFormat="1" applyFont="1" applyBorder="1" applyAlignment="1">
      <alignment/>
    </xf>
    <xf numFmtId="4" fontId="27" fillId="0" borderId="7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18" fillId="0" borderId="7" xfId="0" applyFont="1" applyBorder="1" applyAlignment="1">
      <alignment vertical="center"/>
    </xf>
    <xf numFmtId="181" fontId="4" fillId="2" borderId="16" xfId="17" applyNumberFormat="1" applyFont="1" applyFill="1" applyBorder="1" applyAlignment="1">
      <alignment horizontal="right" vertical="top" wrapText="1"/>
    </xf>
    <xf numFmtId="3" fontId="20" fillId="2" borderId="0" xfId="0" applyNumberFormat="1" applyFont="1" applyFill="1" applyBorder="1" applyAlignment="1">
      <alignment vertical="center"/>
    </xf>
    <xf numFmtId="0" fontId="1" fillId="0" borderId="3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179" fontId="1" fillId="3" borderId="0" xfId="0" applyNumberFormat="1" applyFont="1" applyFill="1" applyBorder="1" applyAlignment="1">
      <alignment/>
    </xf>
    <xf numFmtId="179" fontId="0" fillId="0" borderId="5" xfId="0" applyNumberFormat="1" applyBorder="1" applyAlignment="1">
      <alignment/>
    </xf>
    <xf numFmtId="180" fontId="1" fillId="3" borderId="5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1" fillId="3" borderId="13" xfId="0" applyNumberFormat="1" applyFont="1" applyFill="1" applyBorder="1" applyAlignment="1">
      <alignment/>
    </xf>
    <xf numFmtId="180" fontId="1" fillId="2" borderId="18" xfId="0" applyNumberFormat="1" applyFont="1" applyFill="1" applyBorder="1" applyAlignment="1">
      <alignment/>
    </xf>
    <xf numFmtId="180" fontId="1" fillId="2" borderId="13" xfId="0" applyNumberFormat="1" applyFont="1" applyFill="1" applyBorder="1" applyAlignment="1">
      <alignment/>
    </xf>
    <xf numFmtId="180" fontId="1" fillId="0" borderId="18" xfId="0" applyNumberFormat="1" applyFont="1" applyBorder="1" applyAlignment="1">
      <alignment/>
    </xf>
    <xf numFmtId="183" fontId="21" fillId="0" borderId="4" xfId="0" applyNumberFormat="1" applyFont="1" applyBorder="1" applyAlignment="1">
      <alignment/>
    </xf>
    <xf numFmtId="0" fontId="18" fillId="0" borderId="18" xfId="0" applyFont="1" applyBorder="1" applyAlignment="1">
      <alignment horizontal="left"/>
    </xf>
    <xf numFmtId="180" fontId="0" fillId="2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85" fontId="0" fillId="0" borderId="0" xfId="0" applyNumberFormat="1" applyFont="1" applyBorder="1" applyAlignment="1">
      <alignment/>
    </xf>
    <xf numFmtId="180" fontId="1" fillId="2" borderId="43" xfId="0" applyNumberFormat="1" applyFont="1" applyFill="1" applyBorder="1" applyAlignment="1">
      <alignment/>
    </xf>
    <xf numFmtId="180" fontId="0" fillId="2" borderId="43" xfId="0" applyNumberFormat="1" applyFont="1" applyFill="1" applyBorder="1" applyAlignment="1">
      <alignment/>
    </xf>
    <xf numFmtId="180" fontId="1" fillId="0" borderId="49" xfId="0" applyNumberFormat="1" applyFont="1" applyBorder="1" applyAlignment="1">
      <alignment/>
    </xf>
    <xf numFmtId="180" fontId="1" fillId="2" borderId="49" xfId="0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180" fontId="1" fillId="3" borderId="11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2" borderId="11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/>
    </xf>
    <xf numFmtId="180" fontId="0" fillId="2" borderId="11" xfId="0" applyNumberFormat="1" applyFont="1" applyFill="1" applyBorder="1" applyAlignment="1">
      <alignment/>
    </xf>
    <xf numFmtId="180" fontId="0" fillId="0" borderId="7" xfId="0" applyNumberFormat="1" applyBorder="1" applyAlignment="1">
      <alignment/>
    </xf>
    <xf numFmtId="179" fontId="1" fillId="3" borderId="7" xfId="0" applyNumberFormat="1" applyFont="1" applyFill="1" applyBorder="1" applyAlignment="1">
      <alignment/>
    </xf>
    <xf numFmtId="179" fontId="0" fillId="0" borderId="7" xfId="0" applyNumberFormat="1" applyBorder="1" applyAlignment="1">
      <alignment/>
    </xf>
    <xf numFmtId="179" fontId="0" fillId="2" borderId="7" xfId="0" applyNumberFormat="1" applyFill="1" applyBorder="1" applyAlignment="1">
      <alignment/>
    </xf>
    <xf numFmtId="0" fontId="1" fillId="0" borderId="7" xfId="0" applyFont="1" applyBorder="1" applyAlignment="1">
      <alignment horizontal="center"/>
    </xf>
    <xf numFmtId="179" fontId="41" fillId="0" borderId="7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0" fillId="0" borderId="7" xfId="0" applyNumberFormat="1" applyFont="1" applyBorder="1" applyAlignment="1">
      <alignment/>
    </xf>
    <xf numFmtId="180" fontId="0" fillId="2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86" fontId="0" fillId="0" borderId="7" xfId="0" applyNumberFormat="1" applyFont="1" applyBorder="1" applyAlignment="1">
      <alignment/>
    </xf>
    <xf numFmtId="185" fontId="0" fillId="0" borderId="7" xfId="0" applyNumberFormat="1" applyFont="1" applyBorder="1" applyAlignment="1">
      <alignment/>
    </xf>
    <xf numFmtId="0" fontId="19" fillId="0" borderId="0" xfId="0" applyFont="1" applyAlignment="1">
      <alignment/>
    </xf>
    <xf numFmtId="4" fontId="50" fillId="0" borderId="0" xfId="0" applyNumberFormat="1" applyFont="1" applyBorder="1" applyAlignment="1">
      <alignment/>
    </xf>
    <xf numFmtId="166" fontId="19" fillId="2" borderId="50" xfId="0" applyNumberFormat="1" applyFont="1" applyFill="1" applyBorder="1" applyAlignment="1">
      <alignment horizontal="right"/>
    </xf>
    <xf numFmtId="166" fontId="26" fillId="2" borderId="50" xfId="0" applyNumberFormat="1" applyFont="1" applyFill="1" applyBorder="1" applyAlignment="1">
      <alignment horizontal="right"/>
    </xf>
    <xf numFmtId="166" fontId="4" fillId="2" borderId="50" xfId="0" applyNumberFormat="1" applyFont="1" applyFill="1" applyBorder="1" applyAlignment="1">
      <alignment horizontal="right"/>
    </xf>
    <xf numFmtId="3" fontId="0" fillId="0" borderId="51" xfId="18" applyNumberFormat="1" applyFont="1" applyBorder="1" applyAlignment="1">
      <alignment vertical="center"/>
    </xf>
    <xf numFmtId="3" fontId="0" fillId="0" borderId="52" xfId="18" applyNumberFormat="1" applyFont="1" applyBorder="1" applyAlignment="1">
      <alignment vertical="center"/>
    </xf>
    <xf numFmtId="3" fontId="1" fillId="0" borderId="52" xfId="18" applyNumberFormat="1" applyFont="1" applyBorder="1" applyAlignment="1">
      <alignment vertical="center"/>
    </xf>
    <xf numFmtId="3" fontId="0" fillId="0" borderId="28" xfId="18" applyNumberFormat="1" applyFont="1" applyBorder="1" applyAlignment="1">
      <alignment vertical="center"/>
    </xf>
    <xf numFmtId="3" fontId="1" fillId="0" borderId="28" xfId="18" applyNumberFormat="1" applyFont="1" applyBorder="1" applyAlignment="1">
      <alignment vertical="center"/>
    </xf>
    <xf numFmtId="3" fontId="0" fillId="0" borderId="52" xfId="0" applyNumberFormat="1" applyFont="1" applyFill="1" applyBorder="1" applyAlignment="1">
      <alignment horizontal="left" vertical="center" wrapText="1"/>
    </xf>
    <xf numFmtId="3" fontId="0" fillId="0" borderId="28" xfId="0" applyNumberFormat="1" applyFont="1" applyFill="1" applyBorder="1" applyAlignment="1">
      <alignment horizontal="left" vertical="center" wrapText="1"/>
    </xf>
    <xf numFmtId="0" fontId="0" fillId="0" borderId="5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" fontId="0" fillId="0" borderId="52" xfId="18" applyNumberFormat="1" applyFont="1" applyFill="1" applyBorder="1" applyAlignment="1">
      <alignment horizontal="right" vertical="center"/>
    </xf>
    <xf numFmtId="3" fontId="0" fillId="0" borderId="28" xfId="18" applyNumberFormat="1" applyFont="1" applyFill="1" applyBorder="1" applyAlignment="1">
      <alignment horizontal="right" vertical="center"/>
    </xf>
    <xf numFmtId="3" fontId="0" fillId="0" borderId="16" xfId="18" applyNumberFormat="1" applyFont="1" applyBorder="1" applyAlignment="1">
      <alignment vertical="center"/>
    </xf>
    <xf numFmtId="3" fontId="0" fillId="0" borderId="16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53" xfId="18" applyNumberFormat="1" applyFont="1" applyBorder="1" applyAlignment="1">
      <alignment vertical="center"/>
    </xf>
    <xf numFmtId="3" fontId="0" fillId="0" borderId="0" xfId="18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top"/>
    </xf>
    <xf numFmtId="186" fontId="0" fillId="0" borderId="0" xfId="0" applyNumberFormat="1" applyAlignment="1">
      <alignment/>
    </xf>
    <xf numFmtId="0" fontId="52" fillId="0" borderId="16" xfId="0" applyFont="1" applyBorder="1" applyAlignment="1">
      <alignment horizontal="justify" vertical="top"/>
    </xf>
    <xf numFmtId="0" fontId="0" fillId="0" borderId="16" xfId="0" applyFont="1" applyBorder="1" applyAlignment="1">
      <alignment horizontal="justify" vertical="top"/>
    </xf>
    <xf numFmtId="0" fontId="52" fillId="0" borderId="0" xfId="0" applyFont="1" applyBorder="1" applyAlignment="1">
      <alignment horizontal="justify" vertical="top"/>
    </xf>
    <xf numFmtId="0" fontId="53" fillId="0" borderId="0" xfId="0" applyFont="1" applyAlignment="1">
      <alignment horizontal="center"/>
    </xf>
    <xf numFmtId="0" fontId="52" fillId="0" borderId="16" xfId="0" applyFont="1" applyBorder="1" applyAlignment="1">
      <alignment vertical="top"/>
    </xf>
    <xf numFmtId="3" fontId="0" fillId="0" borderId="0" xfId="18" applyNumberFormat="1" applyFont="1" applyBorder="1" applyAlignment="1">
      <alignment vertical="center"/>
    </xf>
    <xf numFmtId="0" fontId="0" fillId="0" borderId="32" xfId="0" applyFont="1" applyFill="1" applyBorder="1" applyAlignment="1">
      <alignment horizontal="left" vertical="top"/>
    </xf>
    <xf numFmtId="4" fontId="54" fillId="0" borderId="0" xfId="0" applyNumberFormat="1" applyFont="1" applyAlignment="1">
      <alignment/>
    </xf>
    <xf numFmtId="180" fontId="0" fillId="0" borderId="26" xfId="0" applyNumberFormat="1" applyFont="1" applyBorder="1" applyAlignment="1">
      <alignment/>
    </xf>
    <xf numFmtId="180" fontId="0" fillId="0" borderId="31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9" fontId="0" fillId="0" borderId="16" xfId="18" applyNumberFormat="1" applyFont="1" applyBorder="1" applyAlignment="1">
      <alignment/>
    </xf>
    <xf numFmtId="0" fontId="5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175" fontId="4" fillId="0" borderId="16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168" fontId="55" fillId="2" borderId="36" xfId="17" applyFont="1" applyFill="1" applyBorder="1" applyAlignment="1">
      <alignment vertical="top"/>
    </xf>
    <xf numFmtId="168" fontId="55" fillId="2" borderId="19" xfId="17" applyFont="1" applyFill="1" applyBorder="1" applyAlignment="1">
      <alignment vertical="top"/>
    </xf>
    <xf numFmtId="168" fontId="56" fillId="2" borderId="19" xfId="17" applyFont="1" applyFill="1" applyBorder="1" applyAlignment="1">
      <alignment vertical="top"/>
    </xf>
    <xf numFmtId="185" fontId="56" fillId="2" borderId="19" xfId="17" applyNumberFormat="1" applyFont="1" applyFill="1" applyBorder="1" applyAlignment="1">
      <alignment horizontal="right" vertical="top"/>
    </xf>
    <xf numFmtId="185" fontId="56" fillId="2" borderId="19" xfId="17" applyNumberFormat="1" applyFont="1" applyFill="1" applyBorder="1" applyAlignment="1">
      <alignment vertical="top"/>
    </xf>
    <xf numFmtId="185" fontId="0" fillId="2" borderId="16" xfId="18" applyNumberFormat="1" applyFill="1" applyBorder="1" applyAlignment="1">
      <alignment/>
    </xf>
    <xf numFmtId="185" fontId="55" fillId="2" borderId="19" xfId="17" applyNumberFormat="1" applyFont="1" applyFill="1" applyBorder="1" applyAlignment="1">
      <alignment vertical="top"/>
    </xf>
    <xf numFmtId="191" fontId="56" fillId="2" borderId="19" xfId="17" applyNumberFormat="1" applyFont="1" applyFill="1" applyBorder="1" applyAlignment="1">
      <alignment vertical="top"/>
    </xf>
    <xf numFmtId="0" fontId="4" fillId="0" borderId="18" xfId="0" applyFont="1" applyBorder="1" applyAlignment="1">
      <alignment vertical="top"/>
    </xf>
    <xf numFmtId="0" fontId="52" fillId="0" borderId="2" xfId="0" applyNumberFormat="1" applyFont="1" applyBorder="1" applyAlignment="1">
      <alignment horizontal="center" vertical="top"/>
    </xf>
    <xf numFmtId="168" fontId="55" fillId="2" borderId="2" xfId="17" applyFont="1" applyFill="1" applyBorder="1" applyAlignment="1">
      <alignment vertical="top"/>
    </xf>
    <xf numFmtId="0" fontId="4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center" vertical="top" wrapText="1"/>
    </xf>
    <xf numFmtId="168" fontId="56" fillId="2" borderId="2" xfId="17" applyFont="1" applyFill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0" fontId="0" fillId="2" borderId="0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18" fillId="0" borderId="0" xfId="0" applyFont="1" applyBorder="1" applyAlignment="1">
      <alignment/>
    </xf>
    <xf numFmtId="0" fontId="24" fillId="0" borderId="2" xfId="0" applyFont="1" applyFill="1" applyBorder="1" applyAlignment="1">
      <alignment horizontal="left"/>
    </xf>
    <xf numFmtId="0" fontId="24" fillId="0" borderId="16" xfId="0" applyFont="1" applyBorder="1" applyAlignment="1">
      <alignment/>
    </xf>
    <xf numFmtId="4" fontId="18" fillId="0" borderId="13" xfId="0" applyNumberFormat="1" applyFont="1" applyBorder="1" applyAlignment="1">
      <alignment/>
    </xf>
    <xf numFmtId="172" fontId="24" fillId="0" borderId="7" xfId="0" applyNumberFormat="1" applyFont="1" applyFill="1" applyBorder="1" applyAlignment="1">
      <alignment horizontal="right"/>
    </xf>
    <xf numFmtId="3" fontId="18" fillId="0" borderId="17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3" fontId="18" fillId="0" borderId="8" xfId="0" applyNumberFormat="1" applyFont="1" applyBorder="1" applyAlignment="1">
      <alignment/>
    </xf>
    <xf numFmtId="4" fontId="18" fillId="0" borderId="8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4" fontId="18" fillId="0" borderId="2" xfId="0" applyNumberFormat="1" applyFont="1" applyBorder="1" applyAlignment="1">
      <alignment/>
    </xf>
    <xf numFmtId="4" fontId="18" fillId="0" borderId="38" xfId="0" applyNumberFormat="1" applyFont="1" applyBorder="1" applyAlignment="1">
      <alignment/>
    </xf>
    <xf numFmtId="168" fontId="59" fillId="2" borderId="7" xfId="17" applyFont="1" applyFill="1" applyBorder="1" applyAlignment="1">
      <alignment vertical="top"/>
    </xf>
    <xf numFmtId="0" fontId="24" fillId="0" borderId="16" xfId="0" applyFont="1" applyBorder="1" applyAlignment="1">
      <alignment horizontal="center" vertical="top"/>
    </xf>
    <xf numFmtId="0" fontId="53" fillId="0" borderId="16" xfId="0" applyFont="1" applyBorder="1" applyAlignment="1">
      <alignment horizontal="center" vertical="top"/>
    </xf>
    <xf numFmtId="0" fontId="24" fillId="0" borderId="13" xfId="0" applyFont="1" applyBorder="1" applyAlignment="1">
      <alignment/>
    </xf>
    <xf numFmtId="0" fontId="25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4" fillId="0" borderId="26" xfId="0" applyFont="1" applyBorder="1" applyAlignment="1">
      <alignment/>
    </xf>
    <xf numFmtId="0" fontId="27" fillId="0" borderId="16" xfId="0" applyFont="1" applyBorder="1" applyAlignment="1">
      <alignment/>
    </xf>
    <xf numFmtId="0" fontId="24" fillId="2" borderId="7" xfId="0" applyFont="1" applyFill="1" applyBorder="1" applyAlignment="1">
      <alignment horizontal="left"/>
    </xf>
    <xf numFmtId="0" fontId="18" fillId="0" borderId="26" xfId="0" applyFont="1" applyBorder="1" applyAlignment="1">
      <alignment/>
    </xf>
    <xf numFmtId="0" fontId="5" fillId="0" borderId="41" xfId="0" applyFont="1" applyBorder="1" applyAlignment="1">
      <alignment horizontal="center"/>
    </xf>
    <xf numFmtId="4" fontId="34" fillId="0" borderId="9" xfId="0" applyNumberFormat="1" applyFont="1" applyBorder="1" applyAlignment="1">
      <alignment horizontal="center"/>
    </xf>
    <xf numFmtId="0" fontId="22" fillId="0" borderId="7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6" xfId="0" applyFont="1" applyFill="1" applyBorder="1" applyAlignment="1">
      <alignment horizontal="left"/>
    </xf>
    <xf numFmtId="0" fontId="18" fillId="0" borderId="7" xfId="0" applyFont="1" applyBorder="1" applyAlignment="1">
      <alignment/>
    </xf>
    <xf numFmtId="0" fontId="4" fillId="0" borderId="26" xfId="0" applyFont="1" applyBorder="1" applyAlignment="1">
      <alignment/>
    </xf>
    <xf numFmtId="0" fontId="24" fillId="0" borderId="7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8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7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24" fillId="2" borderId="7" xfId="0" applyFont="1" applyFill="1" applyBorder="1" applyAlignment="1">
      <alignment/>
    </xf>
    <xf numFmtId="0" fontId="4" fillId="0" borderId="7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4" fillId="0" borderId="18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0" fontId="24" fillId="2" borderId="16" xfId="0" applyFont="1" applyFill="1" applyBorder="1" applyAlignment="1">
      <alignment horizontal="left"/>
    </xf>
    <xf numFmtId="0" fontId="18" fillId="0" borderId="2" xfId="0" applyFont="1" applyBorder="1" applyAlignment="1">
      <alignment/>
    </xf>
    <xf numFmtId="0" fontId="18" fillId="0" borderId="15" xfId="0" applyFont="1" applyBorder="1" applyAlignment="1">
      <alignment/>
    </xf>
    <xf numFmtId="0" fontId="4" fillId="0" borderId="18" xfId="0" applyFont="1" applyFill="1" applyBorder="1" applyAlignment="1">
      <alignment horizontal="left"/>
    </xf>
    <xf numFmtId="0" fontId="19" fillId="0" borderId="7" xfId="0" applyFont="1" applyBorder="1" applyAlignment="1">
      <alignment vertical="top"/>
    </xf>
    <xf numFmtId="0" fontId="0" fillId="2" borderId="0" xfId="0" applyFont="1" applyFill="1" applyAlignment="1">
      <alignment horizontal="left"/>
    </xf>
    <xf numFmtId="0" fontId="4" fillId="0" borderId="7" xfId="0" applyFont="1" applyBorder="1" applyAlignment="1">
      <alignment horizontal="justify" vertical="top" wrapText="1"/>
    </xf>
    <xf numFmtId="4" fontId="0" fillId="0" borderId="16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3" fontId="4" fillId="0" borderId="16" xfId="0" applyNumberFormat="1" applyFont="1" applyBorder="1" applyAlignment="1">
      <alignment/>
    </xf>
    <xf numFmtId="2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2" fontId="19" fillId="0" borderId="7" xfId="0" applyNumberFormat="1" applyFont="1" applyBorder="1" applyAlignment="1">
      <alignment horizontal="center"/>
    </xf>
    <xf numFmtId="0" fontId="52" fillId="0" borderId="7" xfId="0" applyNumberFormat="1" applyFont="1" applyBorder="1" applyAlignment="1">
      <alignment horizontal="center" vertical="top"/>
    </xf>
    <xf numFmtId="3" fontId="18" fillId="0" borderId="16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/>
    </xf>
    <xf numFmtId="2" fontId="4" fillId="0" borderId="7" xfId="0" applyNumberFormat="1" applyFont="1" applyBorder="1" applyAlignment="1">
      <alignment horizontal="center"/>
    </xf>
    <xf numFmtId="3" fontId="19" fillId="2" borderId="7" xfId="0" applyNumberFormat="1" applyFont="1" applyFill="1" applyBorder="1" applyAlignment="1">
      <alignment horizontal="right"/>
    </xf>
    <xf numFmtId="2" fontId="4" fillId="0" borderId="15" xfId="0" applyNumberFormat="1" applyFont="1" applyBorder="1" applyAlignment="1">
      <alignment horizontal="center"/>
    </xf>
    <xf numFmtId="2" fontId="4" fillId="0" borderId="46" xfId="0" applyNumberFormat="1" applyFont="1" applyBorder="1" applyAlignment="1">
      <alignment horizontal="center"/>
    </xf>
    <xf numFmtId="0" fontId="19" fillId="0" borderId="16" xfId="0" applyFont="1" applyBorder="1" applyAlignment="1">
      <alignment vertical="top" wrapText="1"/>
    </xf>
    <xf numFmtId="0" fontId="52" fillId="0" borderId="16" xfId="0" applyNumberFormat="1" applyFont="1" applyBorder="1" applyAlignment="1">
      <alignment horizontal="center" vertical="top"/>
    </xf>
    <xf numFmtId="0" fontId="4" fillId="0" borderId="7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168" fontId="55" fillId="2" borderId="7" xfId="17" applyFont="1" applyFill="1" applyBorder="1" applyAlignment="1">
      <alignment vertical="top"/>
    </xf>
    <xf numFmtId="4" fontId="4" fillId="0" borderId="19" xfId="0" applyNumberFormat="1" applyFont="1" applyBorder="1" applyAlignment="1">
      <alignment/>
    </xf>
    <xf numFmtId="168" fontId="55" fillId="2" borderId="14" xfId="17" applyFont="1" applyFill="1" applyBorder="1" applyAlignment="1">
      <alignment vertical="top"/>
    </xf>
    <xf numFmtId="167" fontId="0" fillId="2" borderId="19" xfId="18" applyFill="1" applyBorder="1" applyAlignment="1">
      <alignment/>
    </xf>
    <xf numFmtId="185" fontId="55" fillId="2" borderId="7" xfId="17" applyNumberFormat="1" applyFont="1" applyFill="1" applyBorder="1" applyAlignment="1">
      <alignment vertical="top"/>
    </xf>
    <xf numFmtId="180" fontId="19" fillId="0" borderId="7" xfId="0" applyNumberFormat="1" applyFont="1" applyBorder="1" applyAlignment="1">
      <alignment horizontal="right" vertical="center"/>
    </xf>
    <xf numFmtId="168" fontId="55" fillId="2" borderId="37" xfId="17" applyFont="1" applyFill="1" applyBorder="1" applyAlignment="1">
      <alignment vertical="top"/>
    </xf>
    <xf numFmtId="181" fontId="19" fillId="2" borderId="19" xfId="17" applyNumberFormat="1" applyFont="1" applyFill="1" applyBorder="1" applyAlignment="1">
      <alignment horizontal="right" vertical="top" wrapText="1"/>
    </xf>
    <xf numFmtId="168" fontId="56" fillId="2" borderId="7" xfId="17" applyFont="1" applyFill="1" applyBorder="1" applyAlignment="1">
      <alignment vertical="top"/>
    </xf>
    <xf numFmtId="172" fontId="0" fillId="2" borderId="19" xfId="0" applyNumberFormat="1" applyFill="1" applyBorder="1" applyAlignment="1">
      <alignment horizontal="right"/>
    </xf>
    <xf numFmtId="168" fontId="56" fillId="2" borderId="14" xfId="17" applyFont="1" applyFill="1" applyBorder="1" applyAlignment="1">
      <alignment vertical="top"/>
    </xf>
    <xf numFmtId="172" fontId="0" fillId="0" borderId="19" xfId="0" applyNumberForma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0" fontId="18" fillId="0" borderId="15" xfId="0" applyFont="1" applyBorder="1" applyAlignment="1">
      <alignment/>
    </xf>
    <xf numFmtId="0" fontId="19" fillId="0" borderId="2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1" fontId="19" fillId="2" borderId="16" xfId="0" applyNumberFormat="1" applyFont="1" applyFill="1" applyBorder="1" applyAlignment="1">
      <alignment horizontal="right"/>
    </xf>
    <xf numFmtId="174" fontId="4" fillId="2" borderId="19" xfId="0" applyNumberFormat="1" applyFont="1" applyFill="1" applyBorder="1" applyAlignment="1">
      <alignment horizontal="right"/>
    </xf>
    <xf numFmtId="180" fontId="0" fillId="2" borderId="19" xfId="18" applyNumberFormat="1" applyFont="1" applyFill="1" applyBorder="1" applyAlignment="1">
      <alignment/>
    </xf>
    <xf numFmtId="184" fontId="0" fillId="2" borderId="16" xfId="18" applyNumberFormat="1" applyFont="1" applyFill="1" applyBorder="1" applyAlignment="1">
      <alignment/>
    </xf>
    <xf numFmtId="3" fontId="0" fillId="0" borderId="2" xfId="0" applyNumberFormat="1" applyBorder="1" applyAlignment="1">
      <alignment horizontal="center" vertical="center"/>
    </xf>
    <xf numFmtId="171" fontId="0" fillId="0" borderId="16" xfId="0" applyNumberFormat="1" applyFont="1" applyFill="1" applyBorder="1" applyAlignment="1">
      <alignment horizontal="right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2" borderId="16" xfId="0" applyFill="1" applyBorder="1" applyAlignment="1">
      <alignment/>
    </xf>
    <xf numFmtId="0" fontId="27" fillId="0" borderId="2" xfId="0" applyFont="1" applyBorder="1" applyAlignment="1">
      <alignment/>
    </xf>
    <xf numFmtId="0" fontId="24" fillId="2" borderId="16" xfId="0" applyFont="1" applyFill="1" applyBorder="1" applyAlignment="1">
      <alignment/>
    </xf>
    <xf numFmtId="0" fontId="0" fillId="2" borderId="2" xfId="0" applyFill="1" applyBorder="1" applyAlignment="1">
      <alignment/>
    </xf>
    <xf numFmtId="0" fontId="19" fillId="0" borderId="7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3" fontId="0" fillId="0" borderId="16" xfId="0" applyNumberFormat="1" applyBorder="1" applyAlignment="1">
      <alignment vertical="center"/>
    </xf>
    <xf numFmtId="175" fontId="4" fillId="0" borderId="7" xfId="0" applyNumberFormat="1" applyFont="1" applyBorder="1" applyAlignment="1">
      <alignment horizontal="right"/>
    </xf>
    <xf numFmtId="172" fontId="0" fillId="2" borderId="11" xfId="0" applyNumberFormat="1" applyFill="1" applyBorder="1" applyAlignment="1">
      <alignment horizontal="right"/>
    </xf>
    <xf numFmtId="4" fontId="4" fillId="0" borderId="15" xfId="0" applyNumberFormat="1" applyFont="1" applyBorder="1" applyAlignment="1">
      <alignment/>
    </xf>
    <xf numFmtId="167" fontId="0" fillId="2" borderId="14" xfId="18" applyFont="1" applyFill="1" applyBorder="1" applyAlignment="1">
      <alignment/>
    </xf>
    <xf numFmtId="176" fontId="0" fillId="0" borderId="7" xfId="0" applyNumberFormat="1" applyFont="1" applyBorder="1" applyAlignment="1">
      <alignment horizontal="right"/>
    </xf>
    <xf numFmtId="0" fontId="0" fillId="2" borderId="7" xfId="0" applyFont="1" applyFill="1" applyBorder="1" applyAlignment="1">
      <alignment/>
    </xf>
    <xf numFmtId="0" fontId="4" fillId="0" borderId="3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4" fillId="0" borderId="34" xfId="0" applyFont="1" applyBorder="1" applyAlignment="1">
      <alignment wrapText="1"/>
    </xf>
    <xf numFmtId="3" fontId="0" fillId="0" borderId="6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wrapText="1"/>
    </xf>
    <xf numFmtId="3" fontId="0" fillId="0" borderId="7" xfId="0" applyNumberFormat="1" applyFont="1" applyFill="1" applyBorder="1" applyAlignment="1">
      <alignment horizontal="left" vertical="center" wrapText="1"/>
    </xf>
    <xf numFmtId="0" fontId="4" fillId="0" borderId="28" xfId="0" applyFont="1" applyBorder="1" applyAlignment="1">
      <alignment wrapText="1"/>
    </xf>
    <xf numFmtId="3" fontId="4" fillId="0" borderId="15" xfId="0" applyNumberFormat="1" applyFont="1" applyBorder="1" applyAlignment="1">
      <alignment wrapText="1"/>
    </xf>
    <xf numFmtId="169" fontId="0" fillId="2" borderId="7" xfId="18" applyNumberFormat="1" applyFont="1" applyFill="1" applyBorder="1" applyAlignment="1">
      <alignment horizontal="right"/>
    </xf>
    <xf numFmtId="4" fontId="4" fillId="0" borderId="15" xfId="0" applyNumberFormat="1" applyFont="1" applyBorder="1" applyAlignment="1">
      <alignment wrapText="1"/>
    </xf>
    <xf numFmtId="187" fontId="0" fillId="2" borderId="7" xfId="18" applyNumberFormat="1" applyFont="1" applyFill="1" applyBorder="1" applyAlignment="1">
      <alignment/>
    </xf>
    <xf numFmtId="0" fontId="52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Alignment="1">
      <alignment horizontal="center"/>
    </xf>
    <xf numFmtId="3" fontId="0" fillId="0" borderId="7" xfId="0" applyNumberFormat="1" applyFill="1" applyBorder="1" applyAlignment="1">
      <alignment horizontal="center" vertical="center"/>
    </xf>
    <xf numFmtId="171" fontId="4" fillId="0" borderId="2" xfId="0" applyNumberFormat="1" applyFont="1" applyBorder="1" applyAlignment="1">
      <alignment/>
    </xf>
    <xf numFmtId="171" fontId="4" fillId="0" borderId="7" xfId="0" applyNumberFormat="1" applyFont="1" applyFill="1" applyBorder="1" applyAlignment="1">
      <alignment/>
    </xf>
    <xf numFmtId="0" fontId="0" fillId="0" borderId="2" xfId="0" applyFont="1" applyBorder="1" applyAlignment="1">
      <alignment vertical="center"/>
    </xf>
    <xf numFmtId="0" fontId="0" fillId="2" borderId="16" xfId="0" applyFont="1" applyFill="1" applyBorder="1" applyAlignment="1">
      <alignment horizontal="left"/>
    </xf>
    <xf numFmtId="0" fontId="0" fillId="0" borderId="7" xfId="0" applyFont="1" applyBorder="1" applyAlignment="1">
      <alignment horizontal="justify" vertical="top"/>
    </xf>
    <xf numFmtId="0" fontId="24" fillId="0" borderId="16" xfId="0" applyFont="1" applyBorder="1" applyAlignment="1">
      <alignment vertical="center"/>
    </xf>
    <xf numFmtId="0" fontId="52" fillId="0" borderId="7" xfId="0" applyFont="1" applyBorder="1" applyAlignment="1">
      <alignment horizontal="left" vertical="top"/>
    </xf>
    <xf numFmtId="0" fontId="52" fillId="0" borderId="7" xfId="0" applyFont="1" applyBorder="1" applyAlignment="1">
      <alignment horizontal="justify" vertical="top"/>
    </xf>
    <xf numFmtId="3" fontId="24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3" fontId="20" fillId="0" borderId="16" xfId="0" applyNumberFormat="1" applyFont="1" applyBorder="1" applyAlignment="1">
      <alignment vertical="center"/>
    </xf>
    <xf numFmtId="0" fontId="53" fillId="0" borderId="0" xfId="0" applyFont="1" applyAlignment="1">
      <alignment horizontal="center" vertical="top"/>
    </xf>
    <xf numFmtId="0" fontId="24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1" fillId="0" borderId="16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3" fontId="2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3" fontId="53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/>
    </xf>
    <xf numFmtId="0" fontId="1" fillId="0" borderId="7" xfId="0" applyFont="1" applyBorder="1" applyAlignment="1">
      <alignment/>
    </xf>
    <xf numFmtId="3" fontId="20" fillId="2" borderId="16" xfId="0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51" fillId="0" borderId="7" xfId="0" applyFont="1" applyBorder="1" applyAlignment="1">
      <alignment/>
    </xf>
    <xf numFmtId="0" fontId="1" fillId="0" borderId="0" xfId="0" applyFont="1" applyAlignment="1">
      <alignment horizontal="right" vertical="top"/>
    </xf>
    <xf numFmtId="3" fontId="24" fillId="2" borderId="7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right" vertical="top"/>
    </xf>
    <xf numFmtId="4" fontId="19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86" fontId="0" fillId="0" borderId="7" xfId="0" applyNumberFormat="1" applyBorder="1" applyAlignment="1">
      <alignment/>
    </xf>
    <xf numFmtId="0" fontId="0" fillId="0" borderId="50" xfId="0" applyBorder="1" applyAlignment="1">
      <alignment/>
    </xf>
    <xf numFmtId="166" fontId="4" fillId="2" borderId="0" xfId="0" applyNumberFormat="1" applyFont="1" applyFill="1" applyAlignment="1">
      <alignment horizontal="right"/>
    </xf>
    <xf numFmtId="167" fontId="19" fillId="2" borderId="50" xfId="18" applyFont="1" applyFill="1" applyBorder="1" applyAlignment="1">
      <alignment/>
    </xf>
    <xf numFmtId="166" fontId="4" fillId="2" borderId="7" xfId="0" applyNumberFormat="1" applyFont="1" applyFill="1" applyBorder="1" applyAlignment="1">
      <alignment horizontal="right"/>
    </xf>
    <xf numFmtId="4" fontId="19" fillId="0" borderId="50" xfId="0" applyNumberFormat="1" applyFont="1" applyBorder="1" applyAlignment="1">
      <alignment vertical="center"/>
    </xf>
    <xf numFmtId="166" fontId="19" fillId="2" borderId="7" xfId="0" applyNumberFormat="1" applyFont="1" applyFill="1" applyBorder="1" applyAlignment="1">
      <alignment horizontal="right"/>
    </xf>
    <xf numFmtId="186" fontId="0" fillId="0" borderId="50" xfId="0" applyNumberFormat="1" applyBorder="1" applyAlignment="1">
      <alignment/>
    </xf>
    <xf numFmtId="4" fontId="19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171" fontId="1" fillId="0" borderId="7" xfId="0" applyNumberFormat="1" applyFont="1" applyFill="1" applyBorder="1" applyAlignment="1">
      <alignment horizontal="right"/>
    </xf>
    <xf numFmtId="171" fontId="0" fillId="0" borderId="14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4" fillId="0" borderId="0" xfId="0" applyFont="1" applyBorder="1" applyAlignment="1">
      <alignment/>
    </xf>
    <xf numFmtId="192" fontId="24" fillId="0" borderId="17" xfId="0" applyNumberFormat="1" applyFont="1" applyBorder="1" applyAlignment="1">
      <alignment horizontal="right"/>
    </xf>
    <xf numFmtId="0" fontId="24" fillId="0" borderId="15" xfId="0" applyFont="1" applyFill="1" applyBorder="1" applyAlignment="1">
      <alignment horizontal="left"/>
    </xf>
    <xf numFmtId="181" fontId="4" fillId="2" borderId="7" xfId="17" applyNumberFormat="1" applyFont="1" applyFill="1" applyBorder="1" applyAlignment="1">
      <alignment horizontal="right" vertical="top" wrapText="1"/>
    </xf>
    <xf numFmtId="4" fontId="4" fillId="0" borderId="26" xfId="0" applyNumberFormat="1" applyFont="1" applyBorder="1" applyAlignment="1">
      <alignment/>
    </xf>
    <xf numFmtId="188" fontId="0" fillId="0" borderId="7" xfId="0" applyNumberFormat="1" applyFont="1" applyBorder="1" applyAlignment="1">
      <alignment/>
    </xf>
    <xf numFmtId="173" fontId="0" fillId="0" borderId="7" xfId="0" applyNumberFormat="1" applyFill="1" applyBorder="1" applyAlignment="1">
      <alignment horizontal="right"/>
    </xf>
    <xf numFmtId="178" fontId="27" fillId="0" borderId="7" xfId="0" applyNumberFormat="1" applyFont="1" applyFill="1" applyBorder="1" applyAlignment="1" applyProtection="1">
      <alignment horizontal="left"/>
      <protection/>
    </xf>
    <xf numFmtId="0" fontId="35" fillId="4" borderId="7" xfId="0" applyFont="1" applyFill="1" applyBorder="1" applyAlignment="1">
      <alignment/>
    </xf>
    <xf numFmtId="0" fontId="34" fillId="4" borderId="1" xfId="0" applyFont="1" applyFill="1" applyBorder="1" applyAlignment="1">
      <alignment horizontal="center"/>
    </xf>
    <xf numFmtId="3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0" fontId="58" fillId="4" borderId="1" xfId="0" applyFont="1" applyFill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4" fontId="5" fillId="0" borderId="54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23" fillId="0" borderId="54" xfId="0" applyNumberFormat="1" applyFont="1" applyBorder="1" applyAlignment="1">
      <alignment/>
    </xf>
    <xf numFmtId="4" fontId="23" fillId="0" borderId="1" xfId="0" applyNumberFormat="1" applyFont="1" applyBorder="1" applyAlignment="1">
      <alignment/>
    </xf>
    <xf numFmtId="0" fontId="35" fillId="4" borderId="1" xfId="0" applyFont="1" applyFill="1" applyBorder="1" applyAlignment="1">
      <alignment horizontal="center"/>
    </xf>
    <xf numFmtId="3" fontId="7" fillId="0" borderId="55" xfId="0" applyNumberFormat="1" applyFont="1" applyBorder="1" applyAlignment="1">
      <alignment/>
    </xf>
    <xf numFmtId="4" fontId="5" fillId="0" borderId="54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55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1087</xdr:row>
      <xdr:rowOff>0</xdr:rowOff>
    </xdr:from>
    <xdr:to>
      <xdr:col>0</xdr:col>
      <xdr:colOff>914400</xdr:colOff>
      <xdr:row>1088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29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1087</xdr:row>
      <xdr:rowOff>0</xdr:rowOff>
    </xdr:from>
    <xdr:to>
      <xdr:col>0</xdr:col>
      <xdr:colOff>914400</xdr:colOff>
      <xdr:row>1088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29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1087</xdr:row>
      <xdr:rowOff>0</xdr:rowOff>
    </xdr:from>
    <xdr:to>
      <xdr:col>0</xdr:col>
      <xdr:colOff>914400</xdr:colOff>
      <xdr:row>1088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29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77"/>
  <sheetViews>
    <sheetView workbookViewId="0" topLeftCell="C63">
      <selection activeCell="H80" sqref="H80"/>
    </sheetView>
  </sheetViews>
  <sheetFormatPr defaultColWidth="11.421875" defaultRowHeight="12.75"/>
  <cols>
    <col min="3" max="3" width="16.57421875" style="0" customWidth="1"/>
    <col min="4" max="4" width="20.57421875" style="0" customWidth="1"/>
    <col min="5" max="5" width="19.00390625" style="0" customWidth="1"/>
    <col min="7" max="7" width="22.57421875" style="0" customWidth="1"/>
    <col min="8" max="8" width="9.57421875" style="0" customWidth="1"/>
    <col min="9" max="9" width="19.7109375" style="0" customWidth="1"/>
    <col min="10" max="10" width="5.28125" style="0" customWidth="1"/>
    <col min="11" max="11" width="21.28125" style="0" customWidth="1"/>
    <col min="12" max="12" width="17.8515625" style="0" customWidth="1"/>
  </cols>
  <sheetData>
    <row r="1" spans="3:7" ht="12.75">
      <c r="C1" s="301"/>
      <c r="G1" s="286"/>
    </row>
    <row r="2" spans="7:11" ht="12.75">
      <c r="G2" s="157" t="s">
        <v>1368</v>
      </c>
      <c r="H2" s="183"/>
      <c r="I2" s="183"/>
      <c r="J2" s="183"/>
      <c r="K2" s="183"/>
    </row>
    <row r="3" spans="3:11" ht="12.75">
      <c r="C3" s="773" t="s">
        <v>684</v>
      </c>
      <c r="D3" s="773"/>
      <c r="E3" s="773"/>
      <c r="F3" s="773"/>
      <c r="G3" s="773"/>
      <c r="H3" s="183"/>
      <c r="I3" s="183"/>
      <c r="J3" s="183"/>
      <c r="K3" s="183"/>
    </row>
    <row r="4" spans="3:11" ht="12.75">
      <c r="C4" s="773" t="s">
        <v>1212</v>
      </c>
      <c r="D4" s="773"/>
      <c r="E4" s="773"/>
      <c r="F4" s="773"/>
      <c r="G4" s="773"/>
      <c r="H4" s="183"/>
      <c r="I4" s="183"/>
      <c r="J4" s="183"/>
      <c r="K4" s="183"/>
    </row>
    <row r="5" spans="3:11" ht="15.75">
      <c r="C5" s="772" t="s">
        <v>301</v>
      </c>
      <c r="D5" s="772"/>
      <c r="E5" s="772"/>
      <c r="F5" s="772"/>
      <c r="G5" s="772"/>
      <c r="H5" s="183"/>
      <c r="I5" s="183"/>
      <c r="J5" s="183"/>
      <c r="K5" s="183"/>
    </row>
    <row r="6" spans="3:11" ht="12.75">
      <c r="C6" s="773" t="s">
        <v>1019</v>
      </c>
      <c r="D6" s="773"/>
      <c r="E6" s="773"/>
      <c r="F6" s="773"/>
      <c r="G6" s="773"/>
      <c r="H6" s="183"/>
      <c r="I6" s="183"/>
      <c r="J6" s="183"/>
      <c r="K6" s="183"/>
    </row>
    <row r="7" spans="3:11" ht="13.5" thickBot="1">
      <c r="C7" s="183"/>
      <c r="D7" s="183"/>
      <c r="E7" s="183"/>
      <c r="F7" s="183"/>
      <c r="G7" s="300"/>
      <c r="H7" s="183"/>
      <c r="I7" s="183"/>
      <c r="J7" s="183"/>
      <c r="K7" s="183"/>
    </row>
    <row r="8" spans="3:11" ht="15.75">
      <c r="C8" s="768" t="s">
        <v>918</v>
      </c>
      <c r="D8" s="769"/>
      <c r="E8" s="769"/>
      <c r="F8" s="770" t="s">
        <v>1020</v>
      </c>
      <c r="G8" s="771"/>
      <c r="H8" s="770" t="s">
        <v>1021</v>
      </c>
      <c r="I8" s="774"/>
      <c r="J8" s="775" t="s">
        <v>1022</v>
      </c>
      <c r="K8" s="771"/>
    </row>
    <row r="9" spans="3:11" ht="12.75">
      <c r="C9" s="158"/>
      <c r="D9" s="159"/>
      <c r="E9" s="159"/>
      <c r="F9" s="169"/>
      <c r="G9" s="160"/>
      <c r="J9" s="158"/>
      <c r="K9" s="160"/>
    </row>
    <row r="10" spans="3:11" ht="12.75">
      <c r="C10" s="167" t="s">
        <v>919</v>
      </c>
      <c r="D10" s="168"/>
      <c r="E10" s="168"/>
      <c r="F10" s="170"/>
      <c r="G10" s="334">
        <v>149000000</v>
      </c>
      <c r="H10" s="347"/>
      <c r="I10" s="350">
        <v>25000000</v>
      </c>
      <c r="J10" s="347"/>
      <c r="K10" s="348">
        <f aca="true" t="shared" si="0" ref="K10:K20">G10+I10</f>
        <v>174000000</v>
      </c>
    </row>
    <row r="11" spans="3:11" ht="12.75">
      <c r="C11" s="167" t="s">
        <v>920</v>
      </c>
      <c r="D11" s="168"/>
      <c r="E11" s="168"/>
      <c r="F11" s="170"/>
      <c r="G11" s="334">
        <f>Hoja1!L22</f>
        <v>40000000.004761904</v>
      </c>
      <c r="H11" s="349"/>
      <c r="I11" s="351">
        <f>6514000*1.1</f>
        <v>7165400.000000001</v>
      </c>
      <c r="J11" s="349"/>
      <c r="K11" s="334">
        <f t="shared" si="0"/>
        <v>47165400.004761904</v>
      </c>
    </row>
    <row r="12" spans="3:11" ht="12.75">
      <c r="C12" s="167" t="s">
        <v>651</v>
      </c>
      <c r="D12" s="168"/>
      <c r="E12" s="168"/>
      <c r="F12" s="170"/>
      <c r="G12" s="334">
        <f>Hoja1!L34</f>
        <v>134000000</v>
      </c>
      <c r="H12" s="349"/>
      <c r="I12" s="351">
        <f>1103470*1.1</f>
        <v>1213817</v>
      </c>
      <c r="J12" s="349"/>
      <c r="K12" s="334">
        <f t="shared" si="0"/>
        <v>135213817</v>
      </c>
    </row>
    <row r="13" spans="3:11" ht="12.75">
      <c r="C13" s="167" t="s">
        <v>857</v>
      </c>
      <c r="D13" s="168"/>
      <c r="E13" s="168"/>
      <c r="F13" s="170"/>
      <c r="G13" s="334">
        <v>180000000</v>
      </c>
      <c r="H13" s="349"/>
      <c r="I13" s="351"/>
      <c r="J13" s="349"/>
      <c r="K13" s="334">
        <f t="shared" si="0"/>
        <v>180000000</v>
      </c>
    </row>
    <row r="14" spans="3:11" ht="12.75">
      <c r="C14" s="167" t="s">
        <v>921</v>
      </c>
      <c r="D14" s="168"/>
      <c r="E14" s="168"/>
      <c r="F14" s="170"/>
      <c r="G14" s="334">
        <f>Hoja1!L50</f>
        <v>5000000</v>
      </c>
      <c r="H14" s="349"/>
      <c r="I14" s="351">
        <f>4127000*1.1</f>
        <v>4539700</v>
      </c>
      <c r="J14" s="349"/>
      <c r="K14" s="334">
        <f t="shared" si="0"/>
        <v>9539700</v>
      </c>
    </row>
    <row r="15" spans="3:11" ht="12.75">
      <c r="C15" s="167" t="s">
        <v>731</v>
      </c>
      <c r="D15" s="168"/>
      <c r="E15" s="168"/>
      <c r="F15" s="170"/>
      <c r="G15" s="334">
        <f>Hoja1!L59</f>
        <v>280000000</v>
      </c>
      <c r="H15" s="349"/>
      <c r="I15" s="351">
        <f>13877000*1.1</f>
        <v>15264700.000000002</v>
      </c>
      <c r="J15" s="349"/>
      <c r="K15" s="334">
        <f t="shared" si="0"/>
        <v>295264700</v>
      </c>
    </row>
    <row r="16" spans="3:11" ht="12.75">
      <c r="C16" s="167" t="s">
        <v>922</v>
      </c>
      <c r="D16" s="168"/>
      <c r="E16" s="168"/>
      <c r="F16" s="170"/>
      <c r="G16" s="334">
        <f>Hoja1!L82</f>
        <v>300000000.00000006</v>
      </c>
      <c r="H16" s="349"/>
      <c r="I16" s="351">
        <f>42904210*1.1</f>
        <v>47194631.00000001</v>
      </c>
      <c r="J16" s="349"/>
      <c r="K16" s="334">
        <f t="shared" si="0"/>
        <v>347194631.00000006</v>
      </c>
    </row>
    <row r="17" spans="3:11" ht="12.75">
      <c r="C17" s="167" t="s">
        <v>924</v>
      </c>
      <c r="D17" s="168"/>
      <c r="E17" s="168"/>
      <c r="F17" s="170"/>
      <c r="G17" s="334">
        <f>Hoja1!L125</f>
        <v>124999999.99666667</v>
      </c>
      <c r="H17" s="349"/>
      <c r="I17" s="351">
        <f>1721800*1.1</f>
        <v>1893980.0000000002</v>
      </c>
      <c r="J17" s="349"/>
      <c r="K17" s="334">
        <f t="shared" si="0"/>
        <v>126893979.99666667</v>
      </c>
    </row>
    <row r="18" spans="3:11" ht="12.75">
      <c r="C18" s="167" t="s">
        <v>925</v>
      </c>
      <c r="D18" s="168"/>
      <c r="E18" s="168"/>
      <c r="F18" s="170"/>
      <c r="G18" s="334">
        <f>Hoja1!L147</f>
        <v>6999999.996666666</v>
      </c>
      <c r="H18" s="349"/>
      <c r="I18" s="351"/>
      <c r="J18" s="349"/>
      <c r="K18" s="334">
        <f t="shared" si="0"/>
        <v>6999999.996666666</v>
      </c>
    </row>
    <row r="19" spans="3:11" ht="12.75">
      <c r="C19" s="167" t="s">
        <v>1171</v>
      </c>
      <c r="D19" s="168"/>
      <c r="E19" s="168"/>
      <c r="F19" s="170"/>
      <c r="G19" s="334">
        <v>0</v>
      </c>
      <c r="H19" s="349"/>
      <c r="I19" s="351"/>
      <c r="J19" s="349"/>
      <c r="K19" s="334">
        <f t="shared" si="0"/>
        <v>0</v>
      </c>
    </row>
    <row r="20" spans="3:11" ht="12.75">
      <c r="C20" s="167" t="s">
        <v>16</v>
      </c>
      <c r="D20" s="168"/>
      <c r="E20" s="168"/>
      <c r="F20" s="170"/>
      <c r="G20" s="334">
        <f>Hoja1!L192</f>
        <v>311754513.1</v>
      </c>
      <c r="H20" s="349"/>
      <c r="I20" s="351">
        <f>18404120*1.1</f>
        <v>20244532</v>
      </c>
      <c r="J20" s="349"/>
      <c r="K20" s="334">
        <f t="shared" si="0"/>
        <v>331999045.1</v>
      </c>
    </row>
    <row r="21" spans="3:11" ht="12.75">
      <c r="C21" s="158"/>
      <c r="D21" s="159"/>
      <c r="E21" s="159"/>
      <c r="F21" s="169"/>
      <c r="G21" s="314"/>
      <c r="H21" s="349"/>
      <c r="I21" s="351"/>
      <c r="J21" s="349"/>
      <c r="K21" s="334"/>
    </row>
    <row r="22" spans="3:11" ht="12.75">
      <c r="C22" s="162" t="s">
        <v>735</v>
      </c>
      <c r="D22" s="159"/>
      <c r="E22" s="159"/>
      <c r="F22" s="169"/>
      <c r="G22" s="163">
        <f>SUM(G10:G21)</f>
        <v>1531754513.0980954</v>
      </c>
      <c r="H22" s="167"/>
      <c r="I22" s="352">
        <f>SUM(I10:I21)</f>
        <v>122516760</v>
      </c>
      <c r="J22" s="349"/>
      <c r="K22" s="353">
        <f>SUM(K10:K21)</f>
        <v>1654271273.0980954</v>
      </c>
    </row>
    <row r="23" spans="3:11" ht="12.75">
      <c r="C23" s="158"/>
      <c r="D23" s="159"/>
      <c r="E23" s="159"/>
      <c r="F23" s="169"/>
      <c r="G23" s="161"/>
      <c r="J23" s="158"/>
      <c r="K23" s="160"/>
    </row>
    <row r="24" spans="3:11" ht="13.5" thickBot="1">
      <c r="C24" s="164"/>
      <c r="D24" s="165"/>
      <c r="E24" s="165"/>
      <c r="F24" s="171"/>
      <c r="G24" s="166"/>
      <c r="H24" s="164"/>
      <c r="I24" s="165"/>
      <c r="J24" s="164"/>
      <c r="K24" s="175"/>
    </row>
    <row r="25" spans="3:7" ht="12.75">
      <c r="C25" s="301" t="s">
        <v>685</v>
      </c>
      <c r="D25" s="159"/>
      <c r="E25" s="159"/>
      <c r="F25" s="159"/>
      <c r="G25" s="172"/>
    </row>
    <row r="26" spans="3:7" ht="3" customHeight="1">
      <c r="C26" s="301"/>
      <c r="D26" s="159"/>
      <c r="E26" s="159"/>
      <c r="F26" s="159"/>
      <c r="G26" s="172"/>
    </row>
    <row r="27" spans="3:11" ht="12.75">
      <c r="C27" s="773" t="s">
        <v>684</v>
      </c>
      <c r="D27" s="773"/>
      <c r="E27" s="773"/>
      <c r="F27" s="773"/>
      <c r="G27" s="773"/>
      <c r="H27" s="183"/>
      <c r="I27" s="183"/>
      <c r="J27" s="183"/>
      <c r="K27" s="183"/>
    </row>
    <row r="28" spans="3:11" ht="12.75">
      <c r="C28" s="773" t="s">
        <v>1212</v>
      </c>
      <c r="D28" s="773"/>
      <c r="E28" s="773"/>
      <c r="F28" s="773"/>
      <c r="G28" s="773"/>
      <c r="H28" s="183"/>
      <c r="I28" s="183"/>
      <c r="J28" s="183"/>
      <c r="K28" s="183"/>
    </row>
    <row r="29" spans="3:11" ht="12.75">
      <c r="C29" s="773" t="s">
        <v>1569</v>
      </c>
      <c r="D29" s="773"/>
      <c r="E29" s="773"/>
      <c r="F29" s="773"/>
      <c r="G29" s="773"/>
      <c r="H29" s="183"/>
      <c r="I29" s="183"/>
      <c r="J29" s="183"/>
      <c r="K29" s="183"/>
    </row>
    <row r="30" spans="3:11" ht="12.75">
      <c r="C30" s="773" t="s">
        <v>1368</v>
      </c>
      <c r="D30" s="773"/>
      <c r="E30" s="773"/>
      <c r="F30" s="773"/>
      <c r="G30" s="773"/>
      <c r="H30" s="183"/>
      <c r="I30" s="183"/>
      <c r="J30" s="183"/>
      <c r="K30" s="183"/>
    </row>
    <row r="31" spans="3:11" ht="13.5" thickBot="1">
      <c r="C31" s="306"/>
      <c r="D31" s="183"/>
      <c r="E31" s="183"/>
      <c r="F31" s="183"/>
      <c r="G31" s="397"/>
      <c r="H31" s="183"/>
      <c r="I31" s="183"/>
      <c r="J31" s="183"/>
      <c r="K31" s="183"/>
    </row>
    <row r="32" spans="3:11" ht="16.5" thickBot="1">
      <c r="C32" s="768" t="s">
        <v>918</v>
      </c>
      <c r="D32" s="769"/>
      <c r="E32" s="769"/>
      <c r="F32" s="770" t="s">
        <v>1020</v>
      </c>
      <c r="G32" s="771"/>
      <c r="H32" s="770" t="s">
        <v>1021</v>
      </c>
      <c r="I32" s="771"/>
      <c r="J32" s="770" t="s">
        <v>1022</v>
      </c>
      <c r="K32" s="771"/>
    </row>
    <row r="33" spans="3:11" ht="12.75">
      <c r="C33" s="158"/>
      <c r="D33" s="159"/>
      <c r="E33" s="159"/>
      <c r="F33" s="169"/>
      <c r="G33" s="161"/>
      <c r="J33" s="311"/>
      <c r="K33" s="343"/>
    </row>
    <row r="34" spans="3:11" ht="12.75">
      <c r="C34" s="167" t="s">
        <v>927</v>
      </c>
      <c r="D34" s="168"/>
      <c r="E34" s="168"/>
      <c r="F34" s="170"/>
      <c r="G34" s="334">
        <f>Hoja1!L220</f>
        <v>91000000</v>
      </c>
      <c r="H34" s="347"/>
      <c r="I34" s="350">
        <v>0</v>
      </c>
      <c r="J34" s="347"/>
      <c r="K34" s="348">
        <f aca="true" t="shared" si="1" ref="K34:K43">G34+I34</f>
        <v>91000000</v>
      </c>
    </row>
    <row r="35" spans="3:11" ht="12.75">
      <c r="C35" s="167" t="s">
        <v>928</v>
      </c>
      <c r="D35" s="168"/>
      <c r="E35" s="168"/>
      <c r="F35" s="170"/>
      <c r="G35" s="334">
        <f>Hoja1!L236</f>
        <v>200000000</v>
      </c>
      <c r="H35" s="349"/>
      <c r="I35" s="351">
        <f>50875979*1.1</f>
        <v>55963576.900000006</v>
      </c>
      <c r="J35" s="349"/>
      <c r="K35" s="334">
        <f t="shared" si="1"/>
        <v>255963576.9</v>
      </c>
    </row>
    <row r="36" spans="3:11" ht="12.75">
      <c r="C36" s="167" t="s">
        <v>734</v>
      </c>
      <c r="D36" s="168"/>
      <c r="E36" s="168"/>
      <c r="F36" s="170"/>
      <c r="G36" s="334">
        <f>Hoja1!L249</f>
        <v>799999999.9999999</v>
      </c>
      <c r="H36" s="349"/>
      <c r="I36" s="351">
        <f>278305000*1.1</f>
        <v>306135500</v>
      </c>
      <c r="J36" s="349"/>
      <c r="K36" s="334">
        <f t="shared" si="1"/>
        <v>1106135500</v>
      </c>
    </row>
    <row r="37" spans="3:11" ht="12.75">
      <c r="C37" s="167" t="s">
        <v>930</v>
      </c>
      <c r="D37" s="168"/>
      <c r="E37" s="168"/>
      <c r="F37" s="170"/>
      <c r="G37" s="334">
        <f>Hoja1!L412</f>
        <v>15025000</v>
      </c>
      <c r="H37" s="349"/>
      <c r="I37" s="351">
        <f>33499533*1.1</f>
        <v>36849486.300000004</v>
      </c>
      <c r="J37" s="349"/>
      <c r="K37" s="334">
        <f t="shared" si="1"/>
        <v>51874486.300000004</v>
      </c>
    </row>
    <row r="38" spans="3:11" ht="12.75">
      <c r="C38" s="167" t="s">
        <v>929</v>
      </c>
      <c r="D38" s="168"/>
      <c r="E38" s="168"/>
      <c r="F38" s="170"/>
      <c r="G38" s="334">
        <f>Hoja1!L435</f>
        <v>76877300</v>
      </c>
      <c r="H38" s="349"/>
      <c r="I38" s="351">
        <f>33741098*1.1</f>
        <v>37115207.800000004</v>
      </c>
      <c r="J38" s="349"/>
      <c r="K38" s="334">
        <f t="shared" si="1"/>
        <v>113992507.80000001</v>
      </c>
    </row>
    <row r="39" spans="3:11" ht="12.75">
      <c r="C39" s="167" t="s">
        <v>931</v>
      </c>
      <c r="D39" s="168"/>
      <c r="E39" s="168"/>
      <c r="F39" s="170"/>
      <c r="G39" s="334">
        <f>Hoja1!L442</f>
        <v>7721825</v>
      </c>
      <c r="H39" s="349"/>
      <c r="I39" s="351">
        <f>3128900*1.1</f>
        <v>3441790.0000000005</v>
      </c>
      <c r="J39" s="349"/>
      <c r="K39" s="334">
        <f t="shared" si="1"/>
        <v>11163615</v>
      </c>
    </row>
    <row r="40" spans="3:11" ht="12.75">
      <c r="C40" s="167" t="s">
        <v>733</v>
      </c>
      <c r="D40" s="168"/>
      <c r="E40" s="168"/>
      <c r="F40" s="170"/>
      <c r="G40" s="334">
        <f>Hoja1!L457</f>
        <v>48062000</v>
      </c>
      <c r="H40" s="349"/>
      <c r="I40" s="351">
        <f>620000*1.1</f>
        <v>682000</v>
      </c>
      <c r="J40" s="349"/>
      <c r="K40" s="334">
        <f t="shared" si="1"/>
        <v>48744000</v>
      </c>
    </row>
    <row r="41" spans="3:11" ht="12.75">
      <c r="C41" s="167" t="s">
        <v>682</v>
      </c>
      <c r="D41" s="168"/>
      <c r="E41" s="168"/>
      <c r="F41" s="170"/>
      <c r="G41" s="334">
        <f>Hoja1!L480</f>
        <v>0</v>
      </c>
      <c r="H41" s="349"/>
      <c r="I41" s="351"/>
      <c r="J41" s="349"/>
      <c r="K41" s="334">
        <f t="shared" si="1"/>
        <v>0</v>
      </c>
    </row>
    <row r="42" spans="3:11" ht="12.75">
      <c r="C42" s="167" t="s">
        <v>932</v>
      </c>
      <c r="D42" s="168"/>
      <c r="E42" s="168"/>
      <c r="F42" s="170"/>
      <c r="G42" s="334">
        <f>Hoja1!L484</f>
        <v>45000000.00428573</v>
      </c>
      <c r="H42" s="349"/>
      <c r="I42" s="351">
        <f>1720000*1.1</f>
        <v>1892000.0000000002</v>
      </c>
      <c r="J42" s="349"/>
      <c r="K42" s="334">
        <f t="shared" si="1"/>
        <v>46892000.00428573</v>
      </c>
    </row>
    <row r="43" spans="3:11" ht="12.75">
      <c r="C43" s="167" t="s">
        <v>933</v>
      </c>
      <c r="D43" s="168"/>
      <c r="E43" s="168"/>
      <c r="F43" s="170"/>
      <c r="G43" s="334">
        <f>Hoja1!L1043</f>
        <v>51003003</v>
      </c>
      <c r="H43" s="349"/>
      <c r="I43" s="351">
        <f>11442100*1.1</f>
        <v>12586310.000000002</v>
      </c>
      <c r="J43" s="349"/>
      <c r="K43" s="334">
        <f t="shared" si="1"/>
        <v>63589313</v>
      </c>
    </row>
    <row r="44" spans="3:11" ht="12.75">
      <c r="C44" s="158"/>
      <c r="D44" s="159"/>
      <c r="E44" s="159"/>
      <c r="F44" s="169"/>
      <c r="G44" s="314"/>
      <c r="H44" s="312"/>
      <c r="I44" s="312"/>
      <c r="J44" s="313"/>
      <c r="K44" s="314"/>
    </row>
    <row r="45" spans="3:11" ht="13.5" thickBot="1">
      <c r="C45" s="340" t="s">
        <v>735</v>
      </c>
      <c r="D45" s="165"/>
      <c r="E45" s="165"/>
      <c r="F45" s="171"/>
      <c r="G45" s="341">
        <f>SUM(G34:G44)</f>
        <v>1334689128.0042858</v>
      </c>
      <c r="H45" s="342"/>
      <c r="I45" s="341">
        <f>SUM(I34:I44)</f>
        <v>454665871</v>
      </c>
      <c r="J45" s="342"/>
      <c r="K45" s="341">
        <f>SUM(K34:K44)</f>
        <v>1789354999.0042858</v>
      </c>
    </row>
    <row r="46" ht="12.75">
      <c r="C46" s="301" t="s">
        <v>528</v>
      </c>
    </row>
    <row r="47" ht="13.5" thickBot="1"/>
    <row r="48" spans="3:11" ht="15">
      <c r="C48" s="359" t="s">
        <v>529</v>
      </c>
      <c r="D48" s="360"/>
      <c r="E48" s="360"/>
      <c r="F48" s="311"/>
      <c r="G48" s="361">
        <f>Hoja1!L1161</f>
        <v>65441777</v>
      </c>
      <c r="H48" s="357"/>
      <c r="I48" s="358">
        <f>3190000*1.1</f>
        <v>3509000.0000000005</v>
      </c>
      <c r="J48" s="357"/>
      <c r="K48" s="358">
        <f>G48+I48</f>
        <v>68950777</v>
      </c>
    </row>
    <row r="49" spans="3:11" ht="13.5" thickBot="1">
      <c r="C49" s="164"/>
      <c r="D49" s="165"/>
      <c r="E49" s="165"/>
      <c r="F49" s="165"/>
      <c r="G49" s="383">
        <f>G22+G45+G48</f>
        <v>2931885418.102381</v>
      </c>
      <c r="H49" s="384"/>
      <c r="I49" s="383">
        <f>I22+I45+I48</f>
        <v>580691631</v>
      </c>
      <c r="J49" s="165"/>
      <c r="K49" s="383">
        <f>K22+K45+K48</f>
        <v>3512577049.102381</v>
      </c>
    </row>
    <row r="50" spans="3:11" ht="15.75" thickBot="1">
      <c r="C50" s="363"/>
      <c r="D50" s="364"/>
      <c r="E50" s="364"/>
      <c r="F50" s="364"/>
      <c r="G50" s="364"/>
      <c r="H50" s="364"/>
      <c r="I50" s="364"/>
      <c r="J50" s="364"/>
      <c r="K50" s="365"/>
    </row>
    <row r="51" spans="3:11" ht="2.25" customHeight="1">
      <c r="C51" s="371"/>
      <c r="D51" s="380"/>
      <c r="E51" s="367"/>
      <c r="F51" s="356"/>
      <c r="G51" s="366"/>
      <c r="H51" s="357"/>
      <c r="I51" s="362"/>
      <c r="J51" s="357"/>
      <c r="K51" s="362"/>
    </row>
    <row r="52" spans="3:11" ht="15">
      <c r="C52" s="372" t="s">
        <v>683</v>
      </c>
      <c r="D52" s="381"/>
      <c r="E52" s="368"/>
      <c r="F52" s="299"/>
      <c r="G52" s="355">
        <f>SUM(G54:G71)</f>
        <v>7627960333.9972</v>
      </c>
      <c r="H52" s="349"/>
      <c r="I52" s="355">
        <f>SUM(I54:I71)</f>
        <v>2035339377.7</v>
      </c>
      <c r="J52" s="349"/>
      <c r="K52" s="377">
        <f>SUM(K54:K71)</f>
        <v>9654259711.6972</v>
      </c>
    </row>
    <row r="53" spans="3:11" ht="15">
      <c r="C53" s="373"/>
      <c r="D53" s="382"/>
      <c r="E53" s="369"/>
      <c r="F53" s="287"/>
      <c r="G53" s="338"/>
      <c r="H53" s="349"/>
      <c r="I53" s="334"/>
      <c r="J53" s="349"/>
      <c r="K53" s="334"/>
    </row>
    <row r="54" spans="3:11" ht="15">
      <c r="C54" s="373" t="s">
        <v>1026</v>
      </c>
      <c r="D54" s="382"/>
      <c r="E54" s="369"/>
      <c r="F54" s="287"/>
      <c r="G54" s="338">
        <f>Hoja1!L1186</f>
        <v>1692012000</v>
      </c>
      <c r="H54" s="349"/>
      <c r="I54" s="334">
        <f>(356460700+41410000+16429180+59827120)*1.1</f>
        <v>521539700.00000006</v>
      </c>
      <c r="J54" s="349"/>
      <c r="K54" s="334">
        <f>G54+I54</f>
        <v>2213551700</v>
      </c>
    </row>
    <row r="55" spans="3:11" ht="15">
      <c r="C55" s="373"/>
      <c r="D55" s="382"/>
      <c r="E55" s="369"/>
      <c r="F55" s="287"/>
      <c r="G55" s="338"/>
      <c r="H55" s="349"/>
      <c r="I55" s="334"/>
      <c r="J55" s="349"/>
      <c r="K55" s="334"/>
    </row>
    <row r="56" spans="3:11" ht="15">
      <c r="C56" s="373" t="s">
        <v>1025</v>
      </c>
      <c r="D56" s="382"/>
      <c r="E56" s="369"/>
      <c r="F56" s="287"/>
      <c r="G56" s="336">
        <f>Hoja1!N1224</f>
        <v>1289000000</v>
      </c>
      <c r="H56" s="349"/>
      <c r="I56" s="334">
        <f>5000000*1.05</f>
        <v>5250000</v>
      </c>
      <c r="J56" s="349"/>
      <c r="K56" s="334">
        <f>G56+I56</f>
        <v>1294250000</v>
      </c>
    </row>
    <row r="57" spans="3:11" ht="15">
      <c r="C57" s="373"/>
      <c r="D57" s="382"/>
      <c r="E57" s="369"/>
      <c r="F57" s="287"/>
      <c r="G57" s="338"/>
      <c r="H57" s="349"/>
      <c r="I57" s="334"/>
      <c r="J57" s="349"/>
      <c r="K57" s="334"/>
    </row>
    <row r="58" spans="3:11" ht="12.75">
      <c r="C58" s="374" t="s">
        <v>1027</v>
      </c>
      <c r="D58" s="159"/>
      <c r="E58" s="160"/>
      <c r="F58" s="287"/>
      <c r="G58" s="339">
        <f>Hoja1!L1225</f>
        <v>1060620420</v>
      </c>
      <c r="H58" s="349"/>
      <c r="I58" s="334">
        <f>(80205000+402130000+644040000+128000+1898707)*1.1+18509000</f>
        <v>1259750877.7</v>
      </c>
      <c r="J58" s="349"/>
      <c r="K58" s="334">
        <f>G58+I58</f>
        <v>2320371297.7</v>
      </c>
    </row>
    <row r="59" spans="3:11" ht="12.75">
      <c r="C59" s="158"/>
      <c r="D59" s="159"/>
      <c r="E59" s="160"/>
      <c r="F59" s="287"/>
      <c r="G59" s="337"/>
      <c r="H59" s="349"/>
      <c r="I59" s="334"/>
      <c r="J59" s="349"/>
      <c r="K59" s="334"/>
    </row>
    <row r="60" spans="3:11" ht="12.75">
      <c r="C60" s="374" t="s">
        <v>1028</v>
      </c>
      <c r="D60" s="159"/>
      <c r="E60" s="160"/>
      <c r="F60" s="287"/>
      <c r="G60" s="339">
        <f>Hoja1!L1237</f>
        <v>1499999999.9972</v>
      </c>
      <c r="H60" s="349"/>
      <c r="I60" s="334">
        <f>66929000*1.05</f>
        <v>70275450</v>
      </c>
      <c r="J60" s="349"/>
      <c r="K60" s="334">
        <f>G60+I60</f>
        <v>1570275449.9972</v>
      </c>
    </row>
    <row r="61" spans="3:11" ht="12.75">
      <c r="C61" s="158"/>
      <c r="D61" s="159"/>
      <c r="E61" s="160"/>
      <c r="F61" s="287"/>
      <c r="G61" s="337"/>
      <c r="H61" s="349"/>
      <c r="I61" s="334"/>
      <c r="J61" s="349"/>
      <c r="K61" s="334"/>
    </row>
    <row r="62" spans="3:11" ht="15">
      <c r="C62" s="375" t="s">
        <v>1053</v>
      </c>
      <c r="D62" s="168"/>
      <c r="E62" s="370"/>
      <c r="F62" s="299"/>
      <c r="G62" s="336">
        <f>Hoja1!L1258</f>
        <v>920000000</v>
      </c>
      <c r="H62" s="349"/>
      <c r="I62" s="334">
        <f>140800000*1.1</f>
        <v>154880000</v>
      </c>
      <c r="J62" s="349"/>
      <c r="K62" s="334">
        <f>G62+I62</f>
        <v>1074880000</v>
      </c>
    </row>
    <row r="63" spans="3:11" ht="15">
      <c r="C63" s="376"/>
      <c r="D63" s="159"/>
      <c r="E63" s="160"/>
      <c r="F63" s="287"/>
      <c r="G63" s="338"/>
      <c r="H63" s="349"/>
      <c r="I63" s="334"/>
      <c r="J63" s="349"/>
      <c r="K63" s="334"/>
    </row>
    <row r="64" spans="3:11" ht="12.75">
      <c r="C64" s="374" t="s">
        <v>1031</v>
      </c>
      <c r="D64" s="159"/>
      <c r="E64" s="160"/>
      <c r="F64" s="287"/>
      <c r="G64" s="345">
        <f>Hoja1!L1244</f>
        <v>173820000</v>
      </c>
      <c r="H64" s="349"/>
      <c r="I64" s="334">
        <f>(808000+5242000+15019000)*1.05-15000000</f>
        <v>7122450</v>
      </c>
      <c r="J64" s="349"/>
      <c r="K64" s="334">
        <f>G64+I64</f>
        <v>180942450</v>
      </c>
    </row>
    <row r="65" spans="3:11" ht="15">
      <c r="C65" s="376"/>
      <c r="D65" s="159"/>
      <c r="E65" s="160"/>
      <c r="F65" s="287"/>
      <c r="G65" s="346"/>
      <c r="H65" s="349"/>
      <c r="I65" s="334"/>
      <c r="J65" s="349"/>
      <c r="K65" s="334"/>
    </row>
    <row r="66" spans="3:11" ht="15">
      <c r="C66" s="376" t="s">
        <v>1029</v>
      </c>
      <c r="D66" s="159"/>
      <c r="E66" s="160"/>
      <c r="F66" s="287"/>
      <c r="G66" s="346">
        <f>Hoja1!L1250</f>
        <v>388009600</v>
      </c>
      <c r="H66" s="349"/>
      <c r="I66" s="334">
        <f>15019000*1.1</f>
        <v>16520900.000000002</v>
      </c>
      <c r="J66" s="349"/>
      <c r="K66" s="334">
        <f>G66+I66</f>
        <v>404530500</v>
      </c>
    </row>
    <row r="67" spans="3:11" ht="15">
      <c r="C67" s="376"/>
      <c r="D67" s="159"/>
      <c r="E67" s="160"/>
      <c r="F67" s="287"/>
      <c r="G67" s="346"/>
      <c r="H67" s="349"/>
      <c r="I67" s="334"/>
      <c r="J67" s="349"/>
      <c r="K67" s="334"/>
    </row>
    <row r="68" spans="3:11" ht="12.75">
      <c r="C68" s="374" t="s">
        <v>1030</v>
      </c>
      <c r="D68" s="159"/>
      <c r="E68" s="160"/>
      <c r="F68" s="287"/>
      <c r="G68" s="339">
        <f>Hoja1!L1265</f>
        <v>528000000</v>
      </c>
      <c r="H68" s="349"/>
      <c r="I68" s="334"/>
      <c r="J68" s="349"/>
      <c r="K68" s="334">
        <f>G68+I68</f>
        <v>528000000</v>
      </c>
    </row>
    <row r="69" spans="3:11" ht="12.75">
      <c r="C69" s="374"/>
      <c r="D69" s="159"/>
      <c r="E69" s="160"/>
      <c r="F69" s="287"/>
      <c r="G69" s="339"/>
      <c r="H69" s="349"/>
      <c r="I69" s="334"/>
      <c r="J69" s="349"/>
      <c r="K69" s="334"/>
    </row>
    <row r="70" spans="3:11" ht="12.75">
      <c r="C70" s="399" t="s">
        <v>1601</v>
      </c>
      <c r="D70" s="159"/>
      <c r="E70" s="160"/>
      <c r="F70" s="287"/>
      <c r="G70" s="339">
        <f>Hoja1!L1273</f>
        <v>9040000</v>
      </c>
      <c r="H70" s="349"/>
      <c r="I70" s="334"/>
      <c r="J70" s="349"/>
      <c r="K70" s="334"/>
    </row>
    <row r="71" spans="3:11" ht="15.75">
      <c r="C71" s="379" t="s">
        <v>864</v>
      </c>
      <c r="D71" s="168"/>
      <c r="E71" s="370"/>
      <c r="F71" s="299"/>
      <c r="G71" s="336">
        <f>Hoja1!L1275</f>
        <v>67458314</v>
      </c>
      <c r="H71" s="349"/>
      <c r="I71" s="334">
        <v>0</v>
      </c>
      <c r="J71" s="349"/>
      <c r="K71" s="334">
        <f>G71+I71</f>
        <v>67458314</v>
      </c>
    </row>
    <row r="72" spans="3:11" ht="12.75">
      <c r="C72" s="158"/>
      <c r="D72" s="159"/>
      <c r="E72" s="160"/>
      <c r="F72" s="287"/>
      <c r="G72" s="337"/>
      <c r="H72" s="349"/>
      <c r="I72" s="334"/>
      <c r="J72" s="349"/>
      <c r="K72" s="334"/>
    </row>
    <row r="73" spans="3:11" ht="15">
      <c r="C73" s="375" t="s">
        <v>1675</v>
      </c>
      <c r="D73" s="168"/>
      <c r="E73" s="370"/>
      <c r="F73" s="299"/>
      <c r="G73" s="355">
        <f>Hoja1!L1260</f>
        <v>149867005</v>
      </c>
      <c r="H73" s="349"/>
      <c r="I73" s="378">
        <v>97039992</v>
      </c>
      <c r="J73" s="349"/>
      <c r="K73" s="378">
        <f>G73+I73</f>
        <v>246906997</v>
      </c>
    </row>
    <row r="74" spans="3:12" ht="15.75" thickBot="1">
      <c r="C74" s="164"/>
      <c r="D74" s="165"/>
      <c r="E74" s="175"/>
      <c r="F74" s="298"/>
      <c r="G74" s="335">
        <f>G22+G45+G48+G52+G73</f>
        <v>10709712757.09958</v>
      </c>
      <c r="H74" s="344"/>
      <c r="I74" s="354">
        <f>I22+I45+I48+I52+I73</f>
        <v>2713071000.7</v>
      </c>
      <c r="J74" s="344"/>
      <c r="K74" s="354">
        <f>K22+K45+K48+K52+K73</f>
        <v>13413743757.799582</v>
      </c>
      <c r="L74" s="157">
        <f>G74+I74</f>
        <v>13422783757.79958</v>
      </c>
    </row>
    <row r="75" spans="3:12" ht="12.75">
      <c r="C75" s="301" t="s">
        <v>528</v>
      </c>
      <c r="L75" s="157">
        <f>L74-13465415961</f>
        <v>-42632203.20042038</v>
      </c>
    </row>
    <row r="76" ht="12.75">
      <c r="C76" s="415" t="s">
        <v>923</v>
      </c>
    </row>
    <row r="77" ht="12.75">
      <c r="K77" s="398">
        <v>38321</v>
      </c>
    </row>
  </sheetData>
  <mergeCells count="16">
    <mergeCell ref="J8:K8"/>
    <mergeCell ref="J32:K32"/>
    <mergeCell ref="C3:G3"/>
    <mergeCell ref="C8:E8"/>
    <mergeCell ref="F8:G8"/>
    <mergeCell ref="C27:G27"/>
    <mergeCell ref="C28:G28"/>
    <mergeCell ref="C29:G29"/>
    <mergeCell ref="C30:G30"/>
    <mergeCell ref="C4:G4"/>
    <mergeCell ref="C32:E32"/>
    <mergeCell ref="F32:G32"/>
    <mergeCell ref="H32:I32"/>
    <mergeCell ref="C5:G5"/>
    <mergeCell ref="C6:G6"/>
    <mergeCell ref="H8:I8"/>
  </mergeCells>
  <hyperlinks>
    <hyperlink ref="C5" location="Hoja1!L1125" display="COMPRA DE EQUIPO"/>
  </hyperlinks>
  <printOptions horizontalCentered="1" verticalCentered="1"/>
  <pageMargins left="0.75" right="0.75" top="0.32" bottom="0.7480314960629921" header="0" footer="0.4330708661417323"/>
  <pageSetup horizontalDpi="600" verticalDpi="600" orientation="landscape" paperSize="9" scale="80" r:id="rId1"/>
  <headerFooter alignWithMargins="0">
    <oddFooter>&amp;C&amp;"Brush Script MT,Normal"Ro&amp;"Brush Script MT,Cursiva"d&amp;"Brush Script MT,Normal"rigo L.</oddFooter>
  </headerFooter>
  <rowBreaks count="1" manualBreakCount="1">
    <brk id="25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0" customWidth="1"/>
    <col min="2" max="2" width="20.57421875" style="0" customWidth="1"/>
    <col min="3" max="9" width="22.57421875" style="0" customWidth="1"/>
    <col min="10" max="10" width="5.28125" style="0" customWidth="1"/>
    <col min="11" max="11" width="21.28125" style="0" customWidth="1"/>
    <col min="12" max="12" width="17.8515625" style="0" customWidth="1"/>
  </cols>
  <sheetData>
    <row r="1" spans="1:9" ht="12.75">
      <c r="A1" s="301"/>
      <c r="C1" s="286"/>
      <c r="D1" s="286"/>
      <c r="E1" s="286"/>
      <c r="F1" s="286"/>
      <c r="G1" s="286"/>
      <c r="H1" s="286"/>
      <c r="I1" s="286"/>
    </row>
    <row r="2" spans="3:11" ht="12.75">
      <c r="C2" s="157" t="s">
        <v>1368</v>
      </c>
      <c r="D2" s="157"/>
      <c r="E2" s="157"/>
      <c r="F2" s="157"/>
      <c r="G2" s="157"/>
      <c r="H2" s="157"/>
      <c r="I2" s="157"/>
      <c r="J2" s="183"/>
      <c r="K2" s="183"/>
    </row>
    <row r="3" spans="1:11" ht="12.75">
      <c r="A3" s="773" t="s">
        <v>684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</row>
    <row r="4" spans="1:11" ht="12.75">
      <c r="A4" s="773" t="s">
        <v>1212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</row>
    <row r="5" spans="1:11" ht="15.75">
      <c r="A5" s="772" t="s">
        <v>301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</row>
    <row r="6" spans="1:11" ht="13.5" thickBot="1">
      <c r="A6" s="183"/>
      <c r="B6" s="183"/>
      <c r="C6" s="300"/>
      <c r="D6" s="300"/>
      <c r="E6" s="300"/>
      <c r="F6" s="300"/>
      <c r="G6" s="300"/>
      <c r="H6" s="300"/>
      <c r="I6" s="300"/>
      <c r="J6" s="183"/>
      <c r="K6" s="183"/>
    </row>
    <row r="7" spans="1:11" ht="15.75">
      <c r="A7" s="768" t="s">
        <v>1368</v>
      </c>
      <c r="B7" s="769"/>
      <c r="C7" s="456"/>
      <c r="D7" s="457" t="s">
        <v>1558</v>
      </c>
      <c r="E7" s="457" t="s">
        <v>1559</v>
      </c>
      <c r="F7" s="457" t="s">
        <v>1560</v>
      </c>
      <c r="G7" s="457" t="s">
        <v>1561</v>
      </c>
      <c r="H7" s="457"/>
      <c r="I7" s="457" t="s">
        <v>1562</v>
      </c>
      <c r="J7" s="775" t="s">
        <v>1022</v>
      </c>
      <c r="K7" s="771"/>
    </row>
    <row r="8" spans="1:11" ht="15.75" thickBot="1">
      <c r="A8" s="776" t="s">
        <v>926</v>
      </c>
      <c r="B8" s="777"/>
      <c r="C8" s="778"/>
      <c r="D8" s="159"/>
      <c r="E8" s="159"/>
      <c r="F8" s="159"/>
      <c r="G8" s="159"/>
      <c r="H8" s="159"/>
      <c r="I8" s="159"/>
      <c r="J8" s="158"/>
      <c r="K8" s="160"/>
    </row>
    <row r="9" spans="1:11" ht="13.5" thickBot="1">
      <c r="A9" s="167" t="s">
        <v>919</v>
      </c>
      <c r="B9" s="168"/>
      <c r="C9" s="351">
        <v>149000000</v>
      </c>
      <c r="D9" s="485"/>
      <c r="E9" s="485"/>
      <c r="F9" s="485"/>
      <c r="G9" s="485"/>
      <c r="H9" s="350"/>
      <c r="I9" s="350"/>
      <c r="J9" s="347"/>
      <c r="K9" s="475">
        <f aca="true" t="shared" si="0" ref="K9:K19">C9-I9</f>
        <v>149000000</v>
      </c>
    </row>
    <row r="10" spans="1:11" ht="13.5" thickBot="1">
      <c r="A10" s="167" t="s">
        <v>920</v>
      </c>
      <c r="B10" s="168"/>
      <c r="C10" s="351">
        <v>40000000.004761904</v>
      </c>
      <c r="D10" s="485"/>
      <c r="E10" s="485"/>
      <c r="F10" s="485"/>
      <c r="G10" s="485"/>
      <c r="H10" s="351"/>
      <c r="I10" s="351"/>
      <c r="J10" s="349"/>
      <c r="K10" s="475">
        <f t="shared" si="0"/>
        <v>40000000.004761904</v>
      </c>
    </row>
    <row r="11" spans="1:11" ht="13.5" thickBot="1">
      <c r="A11" s="167" t="s">
        <v>651</v>
      </c>
      <c r="B11" s="168"/>
      <c r="C11" s="351">
        <v>134000000</v>
      </c>
      <c r="D11" s="485"/>
      <c r="E11" s="485"/>
      <c r="F11" s="485"/>
      <c r="G11" s="485"/>
      <c r="H11" s="351"/>
      <c r="I11" s="351"/>
      <c r="J11" s="349"/>
      <c r="K11" s="475">
        <f t="shared" si="0"/>
        <v>134000000</v>
      </c>
    </row>
    <row r="12" spans="1:11" ht="13.5" thickBot="1">
      <c r="A12" s="167" t="s">
        <v>857</v>
      </c>
      <c r="B12" s="168"/>
      <c r="C12" s="351">
        <v>180000000</v>
      </c>
      <c r="D12" s="485"/>
      <c r="E12" s="485"/>
      <c r="F12" s="485"/>
      <c r="G12" s="485"/>
      <c r="H12" s="351"/>
      <c r="I12" s="351"/>
      <c r="J12" s="349"/>
      <c r="K12" s="475">
        <f t="shared" si="0"/>
        <v>180000000</v>
      </c>
    </row>
    <row r="13" spans="1:11" ht="13.5" thickBot="1">
      <c r="A13" s="167" t="s">
        <v>921</v>
      </c>
      <c r="B13" s="168"/>
      <c r="C13" s="351">
        <v>5000000</v>
      </c>
      <c r="D13" s="485"/>
      <c r="E13" s="485"/>
      <c r="F13" s="485"/>
      <c r="G13" s="485"/>
      <c r="H13" s="351"/>
      <c r="I13" s="351"/>
      <c r="J13" s="349"/>
      <c r="K13" s="475">
        <f t="shared" si="0"/>
        <v>5000000</v>
      </c>
    </row>
    <row r="14" spans="1:11" ht="13.5" thickBot="1">
      <c r="A14" s="167" t="s">
        <v>731</v>
      </c>
      <c r="B14" s="168"/>
      <c r="C14" s="351">
        <v>300000000</v>
      </c>
      <c r="D14" s="485"/>
      <c r="E14" s="485"/>
      <c r="F14" s="485"/>
      <c r="G14" s="485"/>
      <c r="H14" s="351"/>
      <c r="I14" s="351"/>
      <c r="J14" s="349"/>
      <c r="K14" s="475">
        <f t="shared" si="0"/>
        <v>300000000</v>
      </c>
    </row>
    <row r="15" spans="1:11" ht="13.5" thickBot="1">
      <c r="A15" s="167" t="s">
        <v>922</v>
      </c>
      <c r="B15" s="168"/>
      <c r="C15" s="351">
        <v>270000000</v>
      </c>
      <c r="D15" s="485"/>
      <c r="E15" s="485"/>
      <c r="F15" s="485"/>
      <c r="G15" s="485"/>
      <c r="H15" s="351"/>
      <c r="I15" s="351"/>
      <c r="J15" s="349"/>
      <c r="K15" s="475">
        <f t="shared" si="0"/>
        <v>270000000</v>
      </c>
    </row>
    <row r="16" spans="1:11" ht="13.5" thickBot="1">
      <c r="A16" s="167" t="s">
        <v>924</v>
      </c>
      <c r="B16" s="168"/>
      <c r="C16" s="351">
        <v>124999999.99666667</v>
      </c>
      <c r="D16" s="485"/>
      <c r="E16" s="485"/>
      <c r="F16" s="485"/>
      <c r="G16" s="485"/>
      <c r="H16" s="351"/>
      <c r="I16" s="351"/>
      <c r="J16" s="349"/>
      <c r="K16" s="475">
        <f t="shared" si="0"/>
        <v>124999999.99666667</v>
      </c>
    </row>
    <row r="17" spans="1:11" ht="13.5" thickBot="1">
      <c r="A17" s="167" t="s">
        <v>925</v>
      </c>
      <c r="B17" s="168"/>
      <c r="C17" s="351">
        <v>6999999.996666666</v>
      </c>
      <c r="D17" s="485"/>
      <c r="E17" s="485"/>
      <c r="F17" s="485"/>
      <c r="G17" s="485"/>
      <c r="H17" s="351"/>
      <c r="I17" s="351"/>
      <c r="J17" s="349"/>
      <c r="K17" s="475">
        <f t="shared" si="0"/>
        <v>6999999.996666666</v>
      </c>
    </row>
    <row r="18" spans="1:11" ht="13.5" thickBot="1">
      <c r="A18" s="167" t="s">
        <v>1171</v>
      </c>
      <c r="B18" s="168"/>
      <c r="C18" s="351">
        <v>0</v>
      </c>
      <c r="D18" s="485"/>
      <c r="E18" s="485"/>
      <c r="F18" s="485"/>
      <c r="G18" s="485"/>
      <c r="H18" s="351"/>
      <c r="I18" s="351"/>
      <c r="J18" s="349"/>
      <c r="K18" s="475">
        <f t="shared" si="0"/>
        <v>0</v>
      </c>
    </row>
    <row r="19" spans="1:11" ht="12.75">
      <c r="A19" s="167" t="s">
        <v>16</v>
      </c>
      <c r="B19" s="168"/>
      <c r="C19" s="351">
        <v>300000000</v>
      </c>
      <c r="D19" s="485"/>
      <c r="E19" s="485"/>
      <c r="F19" s="485"/>
      <c r="G19" s="485"/>
      <c r="H19" s="351"/>
      <c r="I19" s="351"/>
      <c r="J19" s="349"/>
      <c r="K19" s="475">
        <f t="shared" si="0"/>
        <v>300000000</v>
      </c>
    </row>
    <row r="20" spans="1:11" ht="12.75">
      <c r="A20" s="158"/>
      <c r="B20" s="159"/>
      <c r="C20" s="458"/>
      <c r="D20" s="485"/>
      <c r="E20" s="485"/>
      <c r="F20" s="485"/>
      <c r="G20" s="485"/>
      <c r="H20" s="458"/>
      <c r="I20" s="458"/>
      <c r="J20" s="349"/>
      <c r="K20" s="334"/>
    </row>
    <row r="21" spans="1:11" ht="12.75">
      <c r="A21" s="162" t="s">
        <v>735</v>
      </c>
      <c r="B21" s="159"/>
      <c r="C21" s="459">
        <f>SUM(C9:C20)</f>
        <v>1509999999.9980953</v>
      </c>
      <c r="D21" s="486"/>
      <c r="E21" s="486"/>
      <c r="F21" s="486"/>
      <c r="G21" s="486"/>
      <c r="H21" s="459"/>
      <c r="I21" s="459"/>
      <c r="J21" s="349"/>
      <c r="K21" s="353">
        <f>SUM(K9:K20)</f>
        <v>1509999999.9980953</v>
      </c>
    </row>
    <row r="22" spans="1:11" ht="12.75">
      <c r="A22" s="158"/>
      <c r="B22" s="159"/>
      <c r="C22" s="172"/>
      <c r="D22" s="487"/>
      <c r="E22" s="487"/>
      <c r="F22" s="487"/>
      <c r="G22" s="487"/>
      <c r="H22" s="172"/>
      <c r="I22" s="172"/>
      <c r="J22" s="158"/>
      <c r="K22" s="160"/>
    </row>
    <row r="23" spans="1:11" ht="13.5" thickBot="1">
      <c r="A23" s="164"/>
      <c r="B23" s="165"/>
      <c r="C23" s="460"/>
      <c r="D23" s="487"/>
      <c r="E23" s="487"/>
      <c r="F23" s="487"/>
      <c r="G23" s="487"/>
      <c r="H23" s="460"/>
      <c r="I23" s="460"/>
      <c r="J23" s="164"/>
      <c r="K23" s="175"/>
    </row>
    <row r="24" spans="1:9" ht="12.75">
      <c r="A24" s="301" t="s">
        <v>1368</v>
      </c>
      <c r="B24" s="159"/>
      <c r="C24" s="172"/>
      <c r="D24" s="487"/>
      <c r="E24" s="487"/>
      <c r="F24" s="487"/>
      <c r="G24" s="487"/>
      <c r="H24" s="172"/>
      <c r="I24" s="172"/>
    </row>
    <row r="25" spans="1:9" ht="3" customHeight="1">
      <c r="A25" s="301"/>
      <c r="B25" s="159"/>
      <c r="C25" s="172"/>
      <c r="D25" s="487"/>
      <c r="E25" s="487"/>
      <c r="F25" s="487"/>
      <c r="G25" s="487"/>
      <c r="H25" s="172"/>
      <c r="I25" s="172"/>
    </row>
    <row r="26" spans="1:11" ht="13.5" thickBot="1">
      <c r="A26" s="306"/>
      <c r="B26" s="183"/>
      <c r="C26" s="397"/>
      <c r="D26" s="488"/>
      <c r="E26" s="488"/>
      <c r="F26" s="488"/>
      <c r="G26" s="488"/>
      <c r="H26" s="397"/>
      <c r="I26" s="397"/>
      <c r="J26" s="183"/>
      <c r="K26" s="183"/>
    </row>
    <row r="27" spans="1:11" ht="16.5" thickBot="1">
      <c r="A27" s="768" t="s">
        <v>1563</v>
      </c>
      <c r="B27" s="769"/>
      <c r="C27" s="457"/>
      <c r="D27" s="489"/>
      <c r="E27" s="489"/>
      <c r="F27" s="489"/>
      <c r="G27" s="489"/>
      <c r="H27" s="457"/>
      <c r="I27" s="457"/>
      <c r="J27" s="770" t="s">
        <v>1022</v>
      </c>
      <c r="K27" s="771"/>
    </row>
    <row r="28" spans="1:11" ht="13.5" thickBot="1">
      <c r="A28" s="158"/>
      <c r="B28" s="159"/>
      <c r="C28" s="172"/>
      <c r="D28" s="487"/>
      <c r="E28" s="487"/>
      <c r="F28" s="487"/>
      <c r="G28" s="487"/>
      <c r="H28" s="172"/>
      <c r="I28" s="172"/>
      <c r="J28" s="311"/>
      <c r="K28" s="343"/>
    </row>
    <row r="29" spans="1:11" ht="13.5" thickBot="1">
      <c r="A29" s="167" t="s">
        <v>927</v>
      </c>
      <c r="B29" s="168"/>
      <c r="C29" s="351">
        <v>91000000</v>
      </c>
      <c r="D29" s="485"/>
      <c r="E29" s="485"/>
      <c r="F29" s="485"/>
      <c r="G29" s="485"/>
      <c r="H29" s="350"/>
      <c r="I29" s="350"/>
      <c r="J29" s="347"/>
      <c r="K29" s="475">
        <f aca="true" t="shared" si="1" ref="K29:K38">C29-I29</f>
        <v>91000000</v>
      </c>
    </row>
    <row r="30" spans="1:11" ht="13.5" thickBot="1">
      <c r="A30" s="167" t="s">
        <v>928</v>
      </c>
      <c r="B30" s="168"/>
      <c r="C30" s="351">
        <v>200000000</v>
      </c>
      <c r="D30" s="485"/>
      <c r="E30" s="485"/>
      <c r="F30" s="485"/>
      <c r="G30" s="485"/>
      <c r="H30" s="351"/>
      <c r="I30" s="351"/>
      <c r="J30" s="349"/>
      <c r="K30" s="475">
        <f t="shared" si="1"/>
        <v>200000000</v>
      </c>
    </row>
    <row r="31" spans="1:11" ht="13.5" thickBot="1">
      <c r="A31" s="167" t="s">
        <v>734</v>
      </c>
      <c r="B31" s="168"/>
      <c r="C31" s="351">
        <v>799999999.9999999</v>
      </c>
      <c r="D31" s="485"/>
      <c r="E31" s="485"/>
      <c r="F31" s="485"/>
      <c r="G31" s="485"/>
      <c r="H31" s="351"/>
      <c r="I31" s="351"/>
      <c r="J31" s="349"/>
      <c r="K31" s="475">
        <f t="shared" si="1"/>
        <v>799999999.9999999</v>
      </c>
    </row>
    <row r="32" spans="1:11" ht="13.5" thickBot="1">
      <c r="A32" s="167" t="s">
        <v>930</v>
      </c>
      <c r="B32" s="168"/>
      <c r="C32" s="351">
        <v>10000000</v>
      </c>
      <c r="D32" s="485"/>
      <c r="E32" s="485"/>
      <c r="F32" s="485"/>
      <c r="G32" s="485"/>
      <c r="H32" s="351"/>
      <c r="I32" s="351"/>
      <c r="J32" s="349"/>
      <c r="K32" s="475">
        <f t="shared" si="1"/>
        <v>10000000</v>
      </c>
    </row>
    <row r="33" spans="1:11" ht="13.5" thickBot="1">
      <c r="A33" s="167" t="s">
        <v>929</v>
      </c>
      <c r="B33" s="168"/>
      <c r="C33" s="351">
        <v>42000000</v>
      </c>
      <c r="D33" s="485"/>
      <c r="E33" s="485"/>
      <c r="F33" s="485"/>
      <c r="G33" s="485"/>
      <c r="H33" s="351"/>
      <c r="I33" s="351"/>
      <c r="J33" s="349"/>
      <c r="K33" s="475">
        <f t="shared" si="1"/>
        <v>42000000</v>
      </c>
    </row>
    <row r="34" spans="1:11" ht="13.5" thickBot="1">
      <c r="A34" s="167" t="s">
        <v>931</v>
      </c>
      <c r="B34" s="168"/>
      <c r="C34" s="351">
        <v>4000000</v>
      </c>
      <c r="D34" s="485"/>
      <c r="E34" s="485"/>
      <c r="F34" s="485"/>
      <c r="G34" s="485"/>
      <c r="H34" s="351"/>
      <c r="I34" s="351"/>
      <c r="J34" s="349"/>
      <c r="K34" s="475">
        <f t="shared" si="1"/>
        <v>4000000</v>
      </c>
    </row>
    <row r="35" spans="1:11" ht="13.5" thickBot="1">
      <c r="A35" s="167" t="s">
        <v>733</v>
      </c>
      <c r="B35" s="168"/>
      <c r="C35" s="351">
        <v>48062000</v>
      </c>
      <c r="D35" s="485"/>
      <c r="E35" s="485"/>
      <c r="F35" s="485"/>
      <c r="G35" s="485"/>
      <c r="H35" s="351"/>
      <c r="I35" s="351"/>
      <c r="J35" s="349"/>
      <c r="K35" s="475">
        <f t="shared" si="1"/>
        <v>48062000</v>
      </c>
    </row>
    <row r="36" spans="1:11" ht="13.5" thickBot="1">
      <c r="A36" s="167" t="s">
        <v>682</v>
      </c>
      <c r="B36" s="168"/>
      <c r="C36" s="351">
        <v>0</v>
      </c>
      <c r="D36" s="485"/>
      <c r="E36" s="485"/>
      <c r="F36" s="485"/>
      <c r="G36" s="485"/>
      <c r="H36" s="351"/>
      <c r="I36" s="351"/>
      <c r="J36" s="349"/>
      <c r="K36" s="475">
        <f t="shared" si="1"/>
        <v>0</v>
      </c>
    </row>
    <row r="37" spans="1:11" ht="13.5" thickBot="1">
      <c r="A37" s="167" t="s">
        <v>932</v>
      </c>
      <c r="B37" s="168"/>
      <c r="C37" s="351">
        <v>35000000.00428572</v>
      </c>
      <c r="D37" s="485"/>
      <c r="E37" s="485"/>
      <c r="F37" s="485"/>
      <c r="G37" s="485"/>
      <c r="H37" s="351"/>
      <c r="I37" s="351"/>
      <c r="J37" s="349"/>
      <c r="K37" s="475">
        <f t="shared" si="1"/>
        <v>35000000.00428572</v>
      </c>
    </row>
    <row r="38" spans="1:11" ht="12.75">
      <c r="A38" s="167" t="s">
        <v>933</v>
      </c>
      <c r="B38" s="168"/>
      <c r="C38" s="351">
        <v>41003003</v>
      </c>
      <c r="D38" s="485"/>
      <c r="E38" s="485"/>
      <c r="F38" s="485"/>
      <c r="G38" s="485"/>
      <c r="H38" s="351"/>
      <c r="I38" s="351"/>
      <c r="J38" s="349"/>
      <c r="K38" s="475">
        <f t="shared" si="1"/>
        <v>41003003</v>
      </c>
    </row>
    <row r="39" spans="1:11" ht="12.75">
      <c r="A39" s="158"/>
      <c r="B39" s="159"/>
      <c r="C39" s="458"/>
      <c r="D39" s="485"/>
      <c r="E39" s="485"/>
      <c r="F39" s="485"/>
      <c r="G39" s="485"/>
      <c r="H39" s="458"/>
      <c r="I39" s="458"/>
      <c r="J39" s="313"/>
      <c r="K39" s="314"/>
    </row>
    <row r="40" spans="1:11" ht="13.5" thickBot="1">
      <c r="A40" s="340" t="s">
        <v>735</v>
      </c>
      <c r="B40" s="165"/>
      <c r="C40" s="461">
        <f>SUM(C29:C39)</f>
        <v>1271065003.0042858</v>
      </c>
      <c r="D40" s="355"/>
      <c r="E40" s="355"/>
      <c r="F40" s="355"/>
      <c r="G40" s="355"/>
      <c r="H40" s="461"/>
      <c r="I40" s="461"/>
      <c r="J40" s="342"/>
      <c r="K40" s="341">
        <f>SUM(K29:K39)</f>
        <v>1271065003.0042858</v>
      </c>
    </row>
    <row r="41" spans="1:7" ht="12.75">
      <c r="A41" s="301" t="s">
        <v>528</v>
      </c>
      <c r="D41" s="299"/>
      <c r="E41" s="299"/>
      <c r="F41" s="299"/>
      <c r="G41" s="299"/>
    </row>
    <row r="42" spans="4:7" ht="13.5" thickBot="1">
      <c r="D42" s="299"/>
      <c r="E42" s="299"/>
      <c r="F42" s="299"/>
      <c r="G42" s="299"/>
    </row>
    <row r="43" spans="1:11" ht="15">
      <c r="A43" s="359" t="s">
        <v>529</v>
      </c>
      <c r="B43" s="360"/>
      <c r="C43" s="462">
        <v>635534967</v>
      </c>
      <c r="D43" s="355">
        <v>0</v>
      </c>
      <c r="E43" s="355">
        <v>800000</v>
      </c>
      <c r="F43" s="355">
        <v>6443000</v>
      </c>
      <c r="G43" s="355">
        <v>22778000</v>
      </c>
      <c r="H43" s="462"/>
      <c r="I43" s="465">
        <f>SUM(D43:H43)</f>
        <v>30021000</v>
      </c>
      <c r="J43" s="357"/>
      <c r="K43" s="361">
        <f>C43-I43</f>
        <v>605513967</v>
      </c>
    </row>
    <row r="44" spans="1:11" ht="13.5" thickBot="1">
      <c r="A44" s="164"/>
      <c r="B44" s="165"/>
      <c r="C44" s="383">
        <f>C21+C40+C43</f>
        <v>3416599970.0023813</v>
      </c>
      <c r="D44" s="490"/>
      <c r="E44" s="490"/>
      <c r="F44" s="490"/>
      <c r="G44" s="490"/>
      <c r="H44" s="383"/>
      <c r="I44" s="383"/>
      <c r="J44" s="165"/>
      <c r="K44" s="383">
        <f>K21+K40+K43</f>
        <v>3386578970.0023813</v>
      </c>
    </row>
    <row r="45" spans="1:11" ht="15.75" thickBot="1">
      <c r="A45" s="363"/>
      <c r="B45" s="364"/>
      <c r="C45" s="364"/>
      <c r="D45" s="299"/>
      <c r="E45" s="299"/>
      <c r="F45" s="299"/>
      <c r="G45" s="299"/>
      <c r="H45" s="364"/>
      <c r="I45" s="364"/>
      <c r="J45" s="364"/>
      <c r="K45" s="365"/>
    </row>
    <row r="46" spans="1:11" ht="2.25" customHeight="1">
      <c r="A46" s="371"/>
      <c r="B46" s="380"/>
      <c r="C46" s="357"/>
      <c r="D46" s="485"/>
      <c r="E46" s="485"/>
      <c r="F46" s="485"/>
      <c r="G46" s="485"/>
      <c r="H46" s="479"/>
      <c r="I46" s="357"/>
      <c r="J46" s="357"/>
      <c r="K46" s="362"/>
    </row>
    <row r="47" spans="1:11" ht="15">
      <c r="A47" s="372" t="s">
        <v>683</v>
      </c>
      <c r="B47" s="381"/>
      <c r="C47" s="463">
        <f>SUM(C49:C104)</f>
        <v>12724357552.274399</v>
      </c>
      <c r="D47" s="355"/>
      <c r="E47" s="355"/>
      <c r="F47" s="355"/>
      <c r="G47" s="355"/>
      <c r="H47" s="480"/>
      <c r="I47" s="463"/>
      <c r="J47" s="349"/>
      <c r="K47" s="377">
        <f>SUM(K49:K104)</f>
        <v>9693499052.277199</v>
      </c>
    </row>
    <row r="48" spans="1:11" ht="15.75" thickBot="1">
      <c r="A48" s="373"/>
      <c r="B48" s="382"/>
      <c r="C48" s="464"/>
      <c r="D48" s="336"/>
      <c r="E48" s="336"/>
      <c r="F48" s="336"/>
      <c r="G48" s="336"/>
      <c r="H48" s="481"/>
      <c r="I48" s="464"/>
      <c r="J48" s="349"/>
      <c r="K48" s="334"/>
    </row>
    <row r="49" spans="1:11" ht="15.75" thickBot="1">
      <c r="A49" s="373" t="s">
        <v>1026</v>
      </c>
      <c r="B49" s="382"/>
      <c r="C49" s="464">
        <v>1458012000</v>
      </c>
      <c r="D49" s="336"/>
      <c r="E49" s="336"/>
      <c r="F49" s="336"/>
      <c r="G49" s="336"/>
      <c r="H49" s="481"/>
      <c r="I49" s="464"/>
      <c r="J49" s="349"/>
      <c r="K49" s="475">
        <f>C49-I49</f>
        <v>1458012000</v>
      </c>
    </row>
    <row r="50" spans="1:11" ht="15" thickBot="1">
      <c r="A50" s="468" t="s">
        <v>1318</v>
      </c>
      <c r="B50" s="382"/>
      <c r="C50" s="469">
        <v>770000000</v>
      </c>
      <c r="D50" s="336"/>
      <c r="E50" s="336"/>
      <c r="F50" s="336"/>
      <c r="G50" s="299"/>
      <c r="I50" s="464"/>
      <c r="J50" s="349"/>
      <c r="K50" s="476">
        <f>C50-I50</f>
        <v>770000000</v>
      </c>
    </row>
    <row r="51" spans="1:11" ht="15" thickBot="1">
      <c r="A51" s="468" t="s">
        <v>652</v>
      </c>
      <c r="B51" s="382"/>
      <c r="C51" s="469">
        <v>288012000</v>
      </c>
      <c r="D51" s="336"/>
      <c r="E51" s="336"/>
      <c r="F51" s="336"/>
      <c r="G51" s="299"/>
      <c r="I51" s="464"/>
      <c r="J51" s="349"/>
      <c r="K51" s="476">
        <f>C51-I51</f>
        <v>288012000</v>
      </c>
    </row>
    <row r="52" spans="1:11" ht="15" thickBot="1">
      <c r="A52" s="468" t="s">
        <v>1327</v>
      </c>
      <c r="B52" s="382"/>
      <c r="C52" s="469">
        <v>300000000</v>
      </c>
      <c r="D52" s="336"/>
      <c r="E52" s="336"/>
      <c r="F52" s="336"/>
      <c r="G52" s="299"/>
      <c r="I52" s="464"/>
      <c r="J52" s="349"/>
      <c r="K52" s="476">
        <f>C52-I52</f>
        <v>300000000</v>
      </c>
    </row>
    <row r="53" spans="1:11" ht="14.25">
      <c r="A53" s="468" t="s">
        <v>1332</v>
      </c>
      <c r="B53" s="382"/>
      <c r="C53" s="469">
        <v>100000000</v>
      </c>
      <c r="D53" s="336"/>
      <c r="E53" s="336"/>
      <c r="F53" s="336"/>
      <c r="G53" s="299"/>
      <c r="I53" s="464"/>
      <c r="J53" s="349"/>
      <c r="K53" s="476">
        <f>C53-I53</f>
        <v>100000000</v>
      </c>
    </row>
    <row r="54" spans="1:11" ht="15.75" thickBot="1">
      <c r="A54" s="373"/>
      <c r="B54" s="382"/>
      <c r="C54" s="464" t="s">
        <v>1368</v>
      </c>
      <c r="D54" s="336"/>
      <c r="E54" s="336"/>
      <c r="F54" s="336"/>
      <c r="G54" s="336"/>
      <c r="H54" s="481"/>
      <c r="I54" s="464"/>
      <c r="J54" s="349"/>
      <c r="K54" s="334" t="s">
        <v>1368</v>
      </c>
    </row>
    <row r="55" spans="1:11" ht="15">
      <c r="A55" s="373" t="s">
        <v>1557</v>
      </c>
      <c r="B55" s="382"/>
      <c r="C55" s="465">
        <v>791000000</v>
      </c>
      <c r="D55" s="299"/>
      <c r="E55" s="336"/>
      <c r="F55" s="336"/>
      <c r="G55" s="336"/>
      <c r="H55" s="482"/>
      <c r="I55" s="465"/>
      <c r="J55" s="349"/>
      <c r="K55" s="475">
        <f>C55-I55</f>
        <v>791000000</v>
      </c>
    </row>
    <row r="56" spans="1:11" ht="15">
      <c r="A56" s="373" t="s">
        <v>1556</v>
      </c>
      <c r="B56" s="382"/>
      <c r="C56" s="464">
        <v>333720000</v>
      </c>
      <c r="D56" s="299"/>
      <c r="E56" s="336"/>
      <c r="F56" s="336"/>
      <c r="G56" s="336"/>
      <c r="H56" s="481"/>
      <c r="I56" s="464"/>
      <c r="J56" s="349"/>
      <c r="K56" s="334"/>
    </row>
    <row r="57" spans="1:11" ht="15.75" thickBot="1">
      <c r="A57" s="373"/>
      <c r="B57" s="382"/>
      <c r="C57" s="464"/>
      <c r="D57" s="336"/>
      <c r="E57" s="336"/>
      <c r="F57" s="336"/>
      <c r="G57" s="336"/>
      <c r="H57" s="481"/>
      <c r="I57" s="464"/>
      <c r="J57" s="349"/>
      <c r="K57" s="334"/>
    </row>
    <row r="58" spans="1:11" ht="12.75">
      <c r="A58" s="374" t="s">
        <v>1027</v>
      </c>
      <c r="B58" s="159"/>
      <c r="C58" s="466">
        <v>1112415500</v>
      </c>
      <c r="D58" s="491"/>
      <c r="E58" s="491"/>
      <c r="F58" s="491"/>
      <c r="G58" s="491"/>
      <c r="H58" s="483"/>
      <c r="I58" s="466"/>
      <c r="J58" s="349"/>
      <c r="K58" s="475">
        <f>C58-I58</f>
        <v>1112415500</v>
      </c>
    </row>
    <row r="59" spans="1:11" ht="12.75">
      <c r="A59" s="470" t="s">
        <v>1351</v>
      </c>
      <c r="B59" s="471"/>
      <c r="C59" s="472">
        <v>9000000</v>
      </c>
      <c r="D59" s="492"/>
      <c r="E59" s="492"/>
      <c r="F59" s="492"/>
      <c r="G59" s="299"/>
      <c r="I59" s="466"/>
      <c r="J59" s="349"/>
      <c r="K59" s="334"/>
    </row>
    <row r="60" spans="1:11" ht="12.75">
      <c r="A60" s="470" t="s">
        <v>1352</v>
      </c>
      <c r="B60" s="471"/>
      <c r="C60" s="472">
        <v>335336000</v>
      </c>
      <c r="D60" s="492"/>
      <c r="E60" s="492"/>
      <c r="F60" s="492"/>
      <c r="G60" s="299"/>
      <c r="I60" s="466"/>
      <c r="J60" s="349"/>
      <c r="K60" s="334"/>
    </row>
    <row r="61" spans="1:11" ht="12.75">
      <c r="A61" s="470" t="s">
        <v>1353</v>
      </c>
      <c r="B61" s="471"/>
      <c r="C61" s="472">
        <v>79500</v>
      </c>
      <c r="D61" s="492"/>
      <c r="E61" s="492"/>
      <c r="F61" s="492"/>
      <c r="G61" s="299"/>
      <c r="I61" s="466"/>
      <c r="J61" s="349"/>
      <c r="K61" s="334"/>
    </row>
    <row r="62" spans="1:11" ht="12.75">
      <c r="A62" s="470" t="s">
        <v>1368</v>
      </c>
      <c r="B62" s="471"/>
      <c r="C62" s="472" t="s">
        <v>1368</v>
      </c>
      <c r="D62" s="492"/>
      <c r="E62" s="492"/>
      <c r="F62" s="492"/>
      <c r="G62" s="299"/>
      <c r="I62" s="466"/>
      <c r="J62" s="349"/>
      <c r="K62" s="334"/>
    </row>
    <row r="63" spans="1:11" ht="12.75">
      <c r="A63" s="470" t="s">
        <v>150</v>
      </c>
      <c r="B63" s="471"/>
      <c r="C63" s="472">
        <v>740000000</v>
      </c>
      <c r="D63" s="492"/>
      <c r="E63" s="492"/>
      <c r="F63" s="492"/>
      <c r="G63" s="299"/>
      <c r="I63" s="466"/>
      <c r="J63" s="349"/>
      <c r="K63" s="334"/>
    </row>
    <row r="64" spans="1:11" ht="12.75">
      <c r="A64" s="470" t="s">
        <v>1169</v>
      </c>
      <c r="B64" s="471"/>
      <c r="C64" s="472">
        <v>0</v>
      </c>
      <c r="D64" s="492" t="s">
        <v>1368</v>
      </c>
      <c r="E64" s="492"/>
      <c r="F64" s="492"/>
      <c r="G64" s="299"/>
      <c r="I64" s="466"/>
      <c r="J64" s="349"/>
      <c r="K64" s="334"/>
    </row>
    <row r="65" spans="1:11" ht="12.75">
      <c r="A65" s="470" t="s">
        <v>14</v>
      </c>
      <c r="B65" s="471"/>
      <c r="C65" s="472">
        <v>0</v>
      </c>
      <c r="D65" s="492" t="s">
        <v>1368</v>
      </c>
      <c r="E65" s="492"/>
      <c r="F65" s="492"/>
      <c r="G65" s="299"/>
      <c r="I65" s="466"/>
      <c r="J65" s="349"/>
      <c r="K65" s="334"/>
    </row>
    <row r="66" spans="1:11" ht="12.75">
      <c r="A66" s="470" t="s">
        <v>1170</v>
      </c>
      <c r="B66" s="471"/>
      <c r="C66" s="472">
        <v>0</v>
      </c>
      <c r="D66" s="492" t="s">
        <v>1368</v>
      </c>
      <c r="E66" s="492"/>
      <c r="F66" s="492"/>
      <c r="G66" s="299"/>
      <c r="I66" s="466"/>
      <c r="J66" s="349"/>
      <c r="K66" s="334"/>
    </row>
    <row r="67" spans="1:11" ht="12.75">
      <c r="A67" s="470" t="s">
        <v>151</v>
      </c>
      <c r="B67" s="471"/>
      <c r="C67" s="472">
        <v>25000000</v>
      </c>
      <c r="D67" s="492" t="s">
        <v>1368</v>
      </c>
      <c r="E67" s="492"/>
      <c r="F67" s="492"/>
      <c r="G67" s="299"/>
      <c r="I67" s="466"/>
      <c r="J67" s="349"/>
      <c r="K67" s="334"/>
    </row>
    <row r="68" spans="1:11" ht="12.75">
      <c r="A68" s="470" t="s">
        <v>1354</v>
      </c>
      <c r="B68" s="471"/>
      <c r="C68" s="472">
        <v>3000000</v>
      </c>
      <c r="D68" s="492"/>
      <c r="E68" s="492"/>
      <c r="F68" s="492"/>
      <c r="G68" s="299"/>
      <c r="I68" s="466"/>
      <c r="J68" s="349"/>
      <c r="K68" s="334"/>
    </row>
    <row r="69" spans="1:11" ht="13.5" thickBot="1">
      <c r="A69" s="158"/>
      <c r="B69" s="159"/>
      <c r="C69" s="313" t="s">
        <v>1368</v>
      </c>
      <c r="D69" s="485"/>
      <c r="E69" s="485"/>
      <c r="F69" s="485"/>
      <c r="G69" s="485"/>
      <c r="H69" s="458"/>
      <c r="I69" s="313"/>
      <c r="J69" s="349"/>
      <c r="K69" s="334"/>
    </row>
    <row r="70" spans="1:11" ht="12.75">
      <c r="A70" s="374" t="s">
        <v>1028</v>
      </c>
      <c r="B70" s="159"/>
      <c r="C70" s="466">
        <v>1499999999.9972</v>
      </c>
      <c r="D70" s="491"/>
      <c r="E70" s="491"/>
      <c r="F70" s="491"/>
      <c r="G70" s="491"/>
      <c r="H70" s="483"/>
      <c r="I70" s="466"/>
      <c r="J70" s="349"/>
      <c r="K70" s="475">
        <f>C70-I70</f>
        <v>1499999999.9972</v>
      </c>
    </row>
    <row r="71" spans="1:11" ht="12.75">
      <c r="A71" s="470" t="s">
        <v>1356</v>
      </c>
      <c r="B71" s="471"/>
      <c r="C71" s="472">
        <v>300000000</v>
      </c>
      <c r="D71" s="492"/>
      <c r="E71" s="492"/>
      <c r="F71" s="492"/>
      <c r="G71" s="299"/>
      <c r="I71" s="466"/>
      <c r="J71" s="349"/>
      <c r="K71" s="334"/>
    </row>
    <row r="72" spans="1:11" ht="12.75">
      <c r="A72" s="470" t="s">
        <v>1357</v>
      </c>
      <c r="B72" s="471"/>
      <c r="C72" s="472">
        <v>194688000</v>
      </c>
      <c r="D72" s="492"/>
      <c r="E72" s="492"/>
      <c r="F72" s="492"/>
      <c r="G72" s="299"/>
      <c r="I72" s="466"/>
      <c r="J72" s="349"/>
      <c r="K72" s="334"/>
    </row>
    <row r="73" spans="1:11" ht="12.75">
      <c r="A73" s="470" t="s">
        <v>1358</v>
      </c>
      <c r="B73" s="471"/>
      <c r="C73" s="472">
        <v>8220160</v>
      </c>
      <c r="D73" s="492"/>
      <c r="E73" s="492"/>
      <c r="F73" s="492"/>
      <c r="G73" s="299"/>
      <c r="I73" s="466"/>
      <c r="J73" s="349"/>
      <c r="K73" s="334"/>
    </row>
    <row r="74" spans="1:11" ht="12.75">
      <c r="A74" s="470" t="s">
        <v>1359</v>
      </c>
      <c r="B74" s="471"/>
      <c r="C74" s="472">
        <v>887810240.6784</v>
      </c>
      <c r="D74" s="492"/>
      <c r="E74" s="492"/>
      <c r="F74" s="492"/>
      <c r="G74" s="299"/>
      <c r="I74" s="466"/>
      <c r="J74" s="349"/>
      <c r="K74" s="334"/>
    </row>
    <row r="75" spans="1:11" ht="12.75">
      <c r="A75" s="470" t="s">
        <v>1316</v>
      </c>
      <c r="B75" s="471"/>
      <c r="C75" s="472">
        <v>109281599.3188</v>
      </c>
      <c r="D75" s="492"/>
      <c r="E75" s="492"/>
      <c r="F75" s="492"/>
      <c r="G75" s="299"/>
      <c r="I75" s="466"/>
      <c r="J75" s="349"/>
      <c r="K75" s="334"/>
    </row>
    <row r="76" spans="1:11" ht="13.5" thickBot="1">
      <c r="A76" s="158"/>
      <c r="B76" s="159"/>
      <c r="C76" s="313" t="s">
        <v>1368</v>
      </c>
      <c r="D76" s="485"/>
      <c r="E76" s="485"/>
      <c r="F76" s="485"/>
      <c r="G76" s="485"/>
      <c r="H76" s="458"/>
      <c r="I76" s="313"/>
      <c r="J76" s="349"/>
      <c r="K76" s="334"/>
    </row>
    <row r="77" spans="1:11" ht="15">
      <c r="A77" s="375" t="s">
        <v>1053</v>
      </c>
      <c r="B77" s="168"/>
      <c r="C77" s="465">
        <v>970000000</v>
      </c>
      <c r="D77" s="336"/>
      <c r="E77" s="336"/>
      <c r="F77" s="336"/>
      <c r="G77" s="336"/>
      <c r="H77" s="482"/>
      <c r="I77" s="465"/>
      <c r="J77" s="349"/>
      <c r="K77" s="475">
        <f>C77-I77</f>
        <v>970000000</v>
      </c>
    </row>
    <row r="78" spans="1:11" ht="15.75" thickBot="1">
      <c r="A78" s="376"/>
      <c r="B78" s="159"/>
      <c r="C78" s="464"/>
      <c r="D78" s="336"/>
      <c r="E78" s="336"/>
      <c r="F78" s="336"/>
      <c r="G78" s="336"/>
      <c r="H78" s="481"/>
      <c r="I78" s="464"/>
      <c r="J78" s="349"/>
      <c r="K78" s="334"/>
    </row>
    <row r="79" spans="1:11" ht="13.5" thickBot="1">
      <c r="A79" s="374" t="s">
        <v>1031</v>
      </c>
      <c r="B79" s="159"/>
      <c r="C79" s="477">
        <v>164250000</v>
      </c>
      <c r="D79" s="491"/>
      <c r="E79" s="491"/>
      <c r="F79" s="491"/>
      <c r="G79" s="491"/>
      <c r="H79" s="483"/>
      <c r="I79" s="466"/>
      <c r="J79" s="349"/>
      <c r="K79" s="475">
        <f>C79-I79</f>
        <v>164250000</v>
      </c>
    </row>
    <row r="80" spans="1:11" ht="13.5" thickBot="1">
      <c r="A80" s="470" t="s">
        <v>1361</v>
      </c>
      <c r="B80" s="471"/>
      <c r="C80" s="472">
        <v>45000000</v>
      </c>
      <c r="D80" s="492"/>
      <c r="E80" s="492"/>
      <c r="F80" s="492"/>
      <c r="G80" s="299"/>
      <c r="I80" s="466"/>
      <c r="J80" s="349"/>
      <c r="K80" s="476">
        <f>C80-I80</f>
        <v>45000000</v>
      </c>
    </row>
    <row r="81" spans="1:11" ht="13.5" thickBot="1">
      <c r="A81" s="470" t="s">
        <v>1362</v>
      </c>
      <c r="B81" s="471"/>
      <c r="C81" s="472">
        <v>25000000</v>
      </c>
      <c r="D81" s="492"/>
      <c r="E81" s="492"/>
      <c r="F81" s="492"/>
      <c r="G81" s="299"/>
      <c r="I81" s="466"/>
      <c r="J81" s="349"/>
      <c r="K81" s="476">
        <f>C81-I81</f>
        <v>25000000</v>
      </c>
    </row>
    <row r="82" spans="1:11" ht="13.5" thickBot="1">
      <c r="A82" s="470" t="s">
        <v>1363</v>
      </c>
      <c r="B82" s="471"/>
      <c r="C82" s="472">
        <v>20000000</v>
      </c>
      <c r="D82" s="492"/>
      <c r="E82" s="492"/>
      <c r="F82" s="492"/>
      <c r="G82" s="299"/>
      <c r="I82" s="466"/>
      <c r="J82" s="349"/>
      <c r="K82" s="476">
        <f>C82-I82</f>
        <v>20000000</v>
      </c>
    </row>
    <row r="83" spans="1:11" ht="12.75">
      <c r="A83" s="470" t="s">
        <v>1364</v>
      </c>
      <c r="B83" s="471"/>
      <c r="C83" s="472">
        <v>73820000</v>
      </c>
      <c r="D83" s="492"/>
      <c r="E83" s="492"/>
      <c r="F83" s="492"/>
      <c r="G83" s="299"/>
      <c r="I83" s="466"/>
      <c r="J83" s="349"/>
      <c r="K83" s="476">
        <f>C83-I83</f>
        <v>73820000</v>
      </c>
    </row>
    <row r="84" spans="1:11" ht="15.75" thickBot="1">
      <c r="A84" s="376"/>
      <c r="B84" s="159"/>
      <c r="C84" s="478"/>
      <c r="D84" s="336"/>
      <c r="E84" s="336"/>
      <c r="F84" s="336"/>
      <c r="G84" s="336"/>
      <c r="H84" s="481"/>
      <c r="I84" s="464"/>
      <c r="J84" s="349"/>
      <c r="K84" s="334"/>
    </row>
    <row r="85" spans="1:11" ht="15.75" thickBot="1">
      <c r="A85" s="376" t="s">
        <v>1029</v>
      </c>
      <c r="B85" s="159"/>
      <c r="C85" s="478">
        <v>388009600</v>
      </c>
      <c r="D85" s="336"/>
      <c r="E85" s="336"/>
      <c r="F85" s="336"/>
      <c r="G85" s="336"/>
      <c r="H85" s="481"/>
      <c r="I85" s="464"/>
      <c r="J85" s="349"/>
      <c r="K85" s="475">
        <f aca="true" t="shared" si="2" ref="K85:K91">C85-I85</f>
        <v>388009600</v>
      </c>
    </row>
    <row r="86" spans="1:11" ht="15" thickBot="1">
      <c r="A86" s="473" t="s">
        <v>1366</v>
      </c>
      <c r="B86" s="471"/>
      <c r="C86" s="469">
        <v>4988669.92</v>
      </c>
      <c r="D86" s="493"/>
      <c r="E86" s="493"/>
      <c r="F86" s="493"/>
      <c r="G86" s="299"/>
      <c r="I86" s="464"/>
      <c r="J86" s="349"/>
      <c r="K86" s="476">
        <f t="shared" si="2"/>
        <v>4988669.92</v>
      </c>
    </row>
    <row r="87" spans="1:11" ht="15" thickBot="1">
      <c r="A87" s="473" t="s">
        <v>1413</v>
      </c>
      <c r="B87" s="471"/>
      <c r="C87" s="469">
        <v>93200000</v>
      </c>
      <c r="D87" s="493"/>
      <c r="E87" s="493"/>
      <c r="F87" s="493"/>
      <c r="G87" s="299"/>
      <c r="I87" s="464"/>
      <c r="J87" s="349"/>
      <c r="K87" s="476">
        <f t="shared" si="2"/>
        <v>93200000</v>
      </c>
    </row>
    <row r="88" spans="1:11" ht="15" thickBot="1">
      <c r="A88" s="473" t="s">
        <v>1412</v>
      </c>
      <c r="B88" s="471"/>
      <c r="C88" s="469">
        <v>120000000</v>
      </c>
      <c r="D88" s="493"/>
      <c r="E88" s="493"/>
      <c r="F88" s="493"/>
      <c r="G88" s="299"/>
      <c r="I88" s="464"/>
      <c r="J88" s="349"/>
      <c r="K88" s="476">
        <f t="shared" si="2"/>
        <v>120000000</v>
      </c>
    </row>
    <row r="89" spans="1:11" ht="15" thickBot="1">
      <c r="A89" s="473" t="s">
        <v>15</v>
      </c>
      <c r="B89" s="471"/>
      <c r="C89" s="469">
        <v>45000000</v>
      </c>
      <c r="D89" s="493"/>
      <c r="E89" s="493"/>
      <c r="F89" s="493"/>
      <c r="G89" s="299"/>
      <c r="I89" s="464"/>
      <c r="J89" s="349"/>
      <c r="K89" s="476">
        <f t="shared" si="2"/>
        <v>45000000</v>
      </c>
    </row>
    <row r="90" spans="1:11" ht="15" thickBot="1">
      <c r="A90" s="473" t="s">
        <v>1414</v>
      </c>
      <c r="B90" s="471"/>
      <c r="C90" s="469">
        <v>104000000</v>
      </c>
      <c r="D90" s="493"/>
      <c r="E90" s="493"/>
      <c r="F90" s="493"/>
      <c r="G90" s="299"/>
      <c r="I90" s="464"/>
      <c r="J90" s="349"/>
      <c r="K90" s="476">
        <f t="shared" si="2"/>
        <v>104000000</v>
      </c>
    </row>
    <row r="91" spans="1:11" ht="14.25">
      <c r="A91" s="473" t="s">
        <v>1322</v>
      </c>
      <c r="B91" s="471"/>
      <c r="C91" s="469">
        <v>20820930.08</v>
      </c>
      <c r="D91" s="493"/>
      <c r="E91" s="493"/>
      <c r="F91" s="493"/>
      <c r="G91" s="299"/>
      <c r="I91" s="464"/>
      <c r="J91" s="349"/>
      <c r="K91" s="476">
        <f t="shared" si="2"/>
        <v>20820930.08</v>
      </c>
    </row>
    <row r="92" spans="1:11" ht="15.75" thickBot="1">
      <c r="A92" s="376"/>
      <c r="B92" s="159"/>
      <c r="C92" s="478"/>
      <c r="D92" s="336"/>
      <c r="E92" s="336"/>
      <c r="F92" s="336"/>
      <c r="G92" s="336"/>
      <c r="H92" s="481"/>
      <c r="I92" s="464"/>
      <c r="J92" s="349"/>
      <c r="K92" s="334"/>
    </row>
    <row r="93" spans="1:11" ht="13.5" thickBot="1">
      <c r="A93" s="374" t="s">
        <v>1030</v>
      </c>
      <c r="B93" s="159"/>
      <c r="C93" s="466">
        <v>590576176.64</v>
      </c>
      <c r="D93" s="491"/>
      <c r="E93" s="491"/>
      <c r="F93" s="491"/>
      <c r="G93" s="491"/>
      <c r="H93" s="483"/>
      <c r="I93" s="466"/>
      <c r="J93" s="349"/>
      <c r="K93" s="475">
        <f aca="true" t="shared" si="3" ref="K93:K100">C93-I93</f>
        <v>590576176.64</v>
      </c>
    </row>
    <row r="94" spans="1:11" ht="13.5" thickBot="1">
      <c r="A94" s="470" t="s">
        <v>1671</v>
      </c>
      <c r="B94" s="471"/>
      <c r="C94" s="472">
        <v>7067174.399999999</v>
      </c>
      <c r="D94" s="492"/>
      <c r="E94" s="492"/>
      <c r="F94" s="492"/>
      <c r="G94" s="299"/>
      <c r="I94" s="466"/>
      <c r="J94" s="349"/>
      <c r="K94" s="476">
        <f t="shared" si="3"/>
        <v>7067174.399999999</v>
      </c>
    </row>
    <row r="95" spans="1:11" ht="13.5" thickBot="1">
      <c r="A95" s="470" t="s">
        <v>1057</v>
      </c>
      <c r="B95" s="471"/>
      <c r="C95" s="472">
        <v>4240304.64</v>
      </c>
      <c r="D95" s="492"/>
      <c r="E95" s="492"/>
      <c r="F95" s="492"/>
      <c r="G95" s="299"/>
      <c r="I95" s="466"/>
      <c r="J95" s="349"/>
      <c r="K95" s="476">
        <f t="shared" si="3"/>
        <v>4240304.64</v>
      </c>
    </row>
    <row r="96" spans="1:11" ht="13.5" thickBot="1">
      <c r="A96" s="470" t="s">
        <v>1670</v>
      </c>
      <c r="B96" s="471"/>
      <c r="C96" s="472">
        <v>28268697.599999998</v>
      </c>
      <c r="D96" s="492"/>
      <c r="E96" s="492"/>
      <c r="F96" s="492"/>
      <c r="G96" s="299"/>
      <c r="I96" s="466"/>
      <c r="J96" s="349"/>
      <c r="K96" s="476">
        <f t="shared" si="3"/>
        <v>28268697.599999998</v>
      </c>
    </row>
    <row r="97" spans="1:11" ht="13.5" thickBot="1">
      <c r="A97" s="470" t="s">
        <v>1672</v>
      </c>
      <c r="B97" s="471"/>
      <c r="C97" s="472">
        <v>11000000</v>
      </c>
      <c r="D97" s="492"/>
      <c r="E97" s="492"/>
      <c r="F97" s="492"/>
      <c r="G97" s="299"/>
      <c r="I97" s="466"/>
      <c r="J97" s="349"/>
      <c r="K97" s="476">
        <f t="shared" si="3"/>
        <v>11000000</v>
      </c>
    </row>
    <row r="98" spans="1:11" ht="13.5" thickBot="1">
      <c r="A98" s="470" t="s">
        <v>1100</v>
      </c>
      <c r="B98" s="471"/>
      <c r="C98" s="472">
        <v>40000000</v>
      </c>
      <c r="D98" s="492"/>
      <c r="E98" s="492"/>
      <c r="F98" s="492"/>
      <c r="G98" s="299"/>
      <c r="I98" s="466"/>
      <c r="J98" s="349"/>
      <c r="K98" s="476">
        <f t="shared" si="3"/>
        <v>40000000</v>
      </c>
    </row>
    <row r="99" spans="1:11" ht="13.5" thickBot="1">
      <c r="A99" s="470" t="s">
        <v>1415</v>
      </c>
      <c r="B99" s="472">
        <v>384337026</v>
      </c>
      <c r="C99" s="472">
        <v>0</v>
      </c>
      <c r="D99" s="299"/>
      <c r="E99" s="492"/>
      <c r="F99" s="492"/>
      <c r="G99" s="299"/>
      <c r="I99" s="466"/>
      <c r="J99" s="349"/>
      <c r="K99" s="476">
        <f t="shared" si="3"/>
        <v>0</v>
      </c>
    </row>
    <row r="100" spans="1:11" ht="12.75">
      <c r="A100" s="470" t="s">
        <v>1673</v>
      </c>
      <c r="B100" s="471"/>
      <c r="C100" s="472">
        <v>500000000</v>
      </c>
      <c r="D100" s="492"/>
      <c r="E100" s="492"/>
      <c r="F100" s="492"/>
      <c r="G100" s="299"/>
      <c r="I100" s="466"/>
      <c r="J100" s="349"/>
      <c r="K100" s="476">
        <f t="shared" si="3"/>
        <v>500000000</v>
      </c>
    </row>
    <row r="101" spans="1:11" ht="12.75">
      <c r="A101" s="374"/>
      <c r="B101" s="159"/>
      <c r="C101" s="466"/>
      <c r="D101" s="491"/>
      <c r="E101" s="491"/>
      <c r="F101" s="491"/>
      <c r="G101" s="491"/>
      <c r="H101" s="483"/>
      <c r="I101" s="466"/>
      <c r="J101" s="349"/>
      <c r="K101" s="334"/>
    </row>
    <row r="102" spans="1:11" ht="12.75">
      <c r="A102" s="374"/>
      <c r="B102" s="159"/>
      <c r="C102" s="466"/>
      <c r="D102" s="491"/>
      <c r="E102" s="491"/>
      <c r="F102" s="491"/>
      <c r="G102" s="491"/>
      <c r="H102" s="483"/>
      <c r="I102" s="466"/>
      <c r="J102" s="349"/>
      <c r="K102" s="334"/>
    </row>
    <row r="103" spans="1:11" ht="13.5" thickBot="1">
      <c r="A103" s="399" t="s">
        <v>1601</v>
      </c>
      <c r="B103" s="159"/>
      <c r="C103" s="466">
        <v>3040000</v>
      </c>
      <c r="D103" s="491"/>
      <c r="E103" s="491"/>
      <c r="F103" s="491"/>
      <c r="G103" s="491"/>
      <c r="H103" s="483"/>
      <c r="I103" s="466"/>
      <c r="J103" s="349"/>
      <c r="K103" s="334"/>
    </row>
    <row r="104" spans="1:11" ht="15.75">
      <c r="A104" s="379" t="s">
        <v>864</v>
      </c>
      <c r="B104" s="168"/>
      <c r="C104" s="465">
        <v>200500999</v>
      </c>
      <c r="D104" s="493">
        <v>16500000</v>
      </c>
      <c r="E104" s="493">
        <v>430000</v>
      </c>
      <c r="F104" s="493">
        <v>7000000</v>
      </c>
      <c r="G104" s="493">
        <v>57753000</v>
      </c>
      <c r="H104" s="484"/>
      <c r="I104" s="465">
        <f>SUM(D104:H104)</f>
        <v>81683000</v>
      </c>
      <c r="J104" s="349"/>
      <c r="K104" s="475">
        <f>C104-I104</f>
        <v>118817999</v>
      </c>
    </row>
    <row r="105" spans="1:11" ht="13.5" thickBot="1">
      <c r="A105" s="158"/>
      <c r="B105" s="159"/>
      <c r="C105" s="313"/>
      <c r="D105" s="485"/>
      <c r="E105" s="485"/>
      <c r="F105" s="485"/>
      <c r="G105" s="485"/>
      <c r="H105" s="458"/>
      <c r="I105" s="313"/>
      <c r="J105" s="349"/>
      <c r="K105" s="334"/>
    </row>
    <row r="106" spans="1:11" ht="15.75" thickBot="1">
      <c r="A106" s="375" t="s">
        <v>1675</v>
      </c>
      <c r="B106" s="168"/>
      <c r="C106" s="463">
        <v>119520375</v>
      </c>
      <c r="D106" s="355"/>
      <c r="E106" s="355"/>
      <c r="F106" s="355"/>
      <c r="G106" s="355"/>
      <c r="H106" s="480"/>
      <c r="I106" s="463"/>
      <c r="J106" s="349"/>
      <c r="K106" s="475">
        <f>SUM(K107:K110)</f>
        <v>119520375</v>
      </c>
    </row>
    <row r="107" spans="1:11" ht="15" thickBot="1">
      <c r="A107" s="473" t="s">
        <v>1344</v>
      </c>
      <c r="B107" s="471"/>
      <c r="C107" s="474">
        <v>70900000</v>
      </c>
      <c r="D107" s="494"/>
      <c r="E107" s="494"/>
      <c r="F107" s="494"/>
      <c r="G107" s="299"/>
      <c r="I107" s="159"/>
      <c r="J107" s="313"/>
      <c r="K107" s="476">
        <f>C107-I107</f>
        <v>70900000</v>
      </c>
    </row>
    <row r="108" spans="1:11" ht="15" thickBot="1">
      <c r="A108" s="473" t="s">
        <v>1343</v>
      </c>
      <c r="B108" s="471"/>
      <c r="C108" s="474">
        <v>40000000</v>
      </c>
      <c r="D108" s="299"/>
      <c r="E108" s="495">
        <v>202817</v>
      </c>
      <c r="F108" s="493">
        <v>2388800</v>
      </c>
      <c r="G108" s="336" t="s">
        <v>1368</v>
      </c>
      <c r="I108" s="465">
        <f>SUM(D108:H108)</f>
        <v>2591617</v>
      </c>
      <c r="J108" s="313"/>
      <c r="K108" s="476">
        <f>C108-I108</f>
        <v>37408383</v>
      </c>
    </row>
    <row r="109" spans="1:11" ht="15" thickBot="1">
      <c r="A109" s="473" t="s">
        <v>1457</v>
      </c>
      <c r="B109" s="471"/>
      <c r="C109" s="474">
        <v>5120000</v>
      </c>
      <c r="D109" s="496"/>
      <c r="E109" s="494"/>
      <c r="F109" s="494"/>
      <c r="G109" s="299"/>
      <c r="I109" s="159"/>
      <c r="J109" s="313"/>
      <c r="K109" s="476">
        <f>C109-I109</f>
        <v>5120000</v>
      </c>
    </row>
    <row r="110" spans="1:11" ht="14.25">
      <c r="A110" s="473" t="s">
        <v>1056</v>
      </c>
      <c r="B110" s="471"/>
      <c r="C110" s="474">
        <v>6091992</v>
      </c>
      <c r="D110" s="494"/>
      <c r="E110" s="494"/>
      <c r="F110" s="494"/>
      <c r="G110" s="299"/>
      <c r="I110" s="159"/>
      <c r="J110" s="313"/>
      <c r="K110" s="476">
        <f>C110-I110</f>
        <v>6091992</v>
      </c>
    </row>
    <row r="111" spans="1:12" ht="15.75" thickBot="1">
      <c r="A111" s="164"/>
      <c r="B111" s="165"/>
      <c r="C111" s="335">
        <v>0</v>
      </c>
      <c r="D111" s="467"/>
      <c r="E111" s="467"/>
      <c r="F111" s="467"/>
      <c r="G111" s="467"/>
      <c r="H111" s="467"/>
      <c r="I111" s="467"/>
      <c r="J111" s="344"/>
      <c r="K111" s="354">
        <f>K21+K40+K43+K47+K106</f>
        <v>13199598397.27958</v>
      </c>
      <c r="L111" s="157" t="s">
        <v>1368</v>
      </c>
    </row>
    <row r="112" spans="1:12" ht="12.75">
      <c r="A112" s="301" t="s">
        <v>528</v>
      </c>
      <c r="K112" s="398">
        <v>38423</v>
      </c>
      <c r="L112" s="157" t="s">
        <v>1368</v>
      </c>
    </row>
    <row r="113" spans="1:12" ht="12.75">
      <c r="A113" s="415" t="s">
        <v>923</v>
      </c>
      <c r="L113" t="s">
        <v>1368</v>
      </c>
    </row>
  </sheetData>
  <mergeCells count="8">
    <mergeCell ref="A27:B27"/>
    <mergeCell ref="A3:K3"/>
    <mergeCell ref="A4:K4"/>
    <mergeCell ref="A5:K5"/>
    <mergeCell ref="A8:C8"/>
    <mergeCell ref="J7:K7"/>
    <mergeCell ref="J27:K27"/>
    <mergeCell ref="A7:B7"/>
  </mergeCells>
  <hyperlinks>
    <hyperlink ref="A5" location="Hoja1!L1125" display="COMPRA DE EQUIPO"/>
  </hyperlinks>
  <printOptions horizontalCentered="1" verticalCentered="1"/>
  <pageMargins left="0.7874015748031497" right="0.7874015748031497" top="0.31496062992125984" bottom="0.7480314960629921" header="0" footer="0.4330708661417323"/>
  <pageSetup horizontalDpi="600" verticalDpi="600" orientation="landscape" pageOrder="overThenDown" paperSize="14" scale="60" r:id="rId1"/>
  <headerFooter alignWithMargins="0">
    <oddFooter>&amp;C&amp;"Times New Roman,Normal"Ro&amp;"Times New Roman,Cursiva"d&amp;"Times New Roman,Normal"rigo L.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S1278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7.00390625" style="0" customWidth="1"/>
    <col min="2" max="4" width="11.7109375" style="0" hidden="1" customWidth="1"/>
    <col min="5" max="5" width="15.140625" style="0" hidden="1" customWidth="1"/>
    <col min="6" max="6" width="68.8515625" style="0" customWidth="1"/>
    <col min="7" max="7" width="13.8515625" style="0" bestFit="1" customWidth="1"/>
    <col min="8" max="8" width="10.140625" style="0" customWidth="1"/>
    <col min="9" max="9" width="21.8515625" style="0" customWidth="1"/>
    <col min="10" max="10" width="0" style="0" hidden="1" customWidth="1"/>
    <col min="11" max="11" width="17.7109375" style="0" hidden="1" customWidth="1"/>
    <col min="12" max="12" width="22.28125" style="0" customWidth="1"/>
    <col min="13" max="14" width="22.28125" style="0" hidden="1" customWidth="1"/>
    <col min="15" max="15" width="17.00390625" style="0" hidden="1" customWidth="1"/>
    <col min="16" max="16" width="0" style="0" hidden="1" customWidth="1"/>
    <col min="17" max="17" width="14.00390625" style="0" hidden="1" customWidth="1"/>
    <col min="18" max="18" width="20.28125" style="0" hidden="1" customWidth="1"/>
    <col min="19" max="19" width="15.8515625" style="0" hidden="1" customWidth="1"/>
    <col min="20" max="21" width="0" style="0" hidden="1" customWidth="1"/>
  </cols>
  <sheetData>
    <row r="1" spans="6:14" ht="12.75">
      <c r="F1" s="183"/>
      <c r="G1" s="183"/>
      <c r="H1" s="183"/>
      <c r="I1" s="183"/>
      <c r="J1" s="183"/>
      <c r="K1" s="183"/>
      <c r="L1" s="183"/>
      <c r="M1" s="183"/>
      <c r="N1" s="183"/>
    </row>
    <row r="2" spans="6:14" ht="12.75">
      <c r="F2" s="773" t="s">
        <v>1211</v>
      </c>
      <c r="G2" s="773"/>
      <c r="H2" s="773"/>
      <c r="I2" s="773"/>
      <c r="J2" s="773"/>
      <c r="K2" s="773"/>
      <c r="L2" s="773"/>
      <c r="M2" s="306"/>
      <c r="N2" s="306"/>
    </row>
    <row r="3" spans="6:14" ht="12.75">
      <c r="F3" s="773" t="s">
        <v>1212</v>
      </c>
      <c r="G3" s="773"/>
      <c r="H3" s="773"/>
      <c r="I3" s="773"/>
      <c r="J3" s="773"/>
      <c r="K3" s="773"/>
      <c r="L3" s="773"/>
      <c r="M3" s="306"/>
      <c r="N3" s="306"/>
    </row>
    <row r="4" spans="6:14" ht="12.75">
      <c r="F4" s="773" t="s">
        <v>1600</v>
      </c>
      <c r="G4" s="773"/>
      <c r="H4" s="773"/>
      <c r="I4" s="773"/>
      <c r="J4" s="773"/>
      <c r="K4" s="773"/>
      <c r="L4" s="773"/>
      <c r="M4" s="306"/>
      <c r="N4" s="306"/>
    </row>
    <row r="5" spans="6:14" ht="12.75">
      <c r="F5" s="306"/>
      <c r="G5" s="306"/>
      <c r="H5" s="306"/>
      <c r="I5" s="306"/>
      <c r="J5" s="306"/>
      <c r="K5" s="306"/>
      <c r="L5" s="306"/>
      <c r="M5" s="306"/>
      <c r="N5" s="306"/>
    </row>
    <row r="6" spans="6:19" ht="12.75">
      <c r="F6" s="306"/>
      <c r="G6" s="306"/>
      <c r="H6" s="306"/>
      <c r="I6" s="306"/>
      <c r="J6" s="306"/>
      <c r="K6" s="306"/>
      <c r="L6" s="306"/>
      <c r="M6" s="306"/>
      <c r="N6" s="306"/>
      <c r="Q6" s="783" t="s">
        <v>186</v>
      </c>
      <c r="R6" s="783"/>
      <c r="S6" s="783"/>
    </row>
    <row r="7" spans="6:14" ht="13.5" thickBot="1">
      <c r="F7" s="183"/>
      <c r="G7" s="183"/>
      <c r="H7" s="183"/>
      <c r="I7" s="183"/>
      <c r="J7" s="183"/>
      <c r="K7" s="183"/>
      <c r="L7" s="183"/>
      <c r="M7" s="183"/>
      <c r="N7" s="183"/>
    </row>
    <row r="8" spans="1:19" ht="12.75">
      <c r="A8" s="191" t="s">
        <v>352</v>
      </c>
      <c r="F8" s="191" t="s">
        <v>625</v>
      </c>
      <c r="G8" s="192" t="s">
        <v>626</v>
      </c>
      <c r="H8" s="192" t="s">
        <v>627</v>
      </c>
      <c r="I8" s="192" t="s">
        <v>628</v>
      </c>
      <c r="J8" s="193"/>
      <c r="K8" s="193"/>
      <c r="L8" s="416" t="s">
        <v>629</v>
      </c>
      <c r="M8" s="442" t="s">
        <v>2</v>
      </c>
      <c r="N8" s="306"/>
      <c r="Q8" s="192" t="s">
        <v>627</v>
      </c>
      <c r="R8" s="192" t="s">
        <v>628</v>
      </c>
      <c r="S8" s="416" t="s">
        <v>629</v>
      </c>
    </row>
    <row r="9" spans="1:19" ht="24" customHeight="1">
      <c r="A9" s="194"/>
      <c r="F9" s="194"/>
      <c r="G9" s="195"/>
      <c r="H9" s="195"/>
      <c r="I9" s="195"/>
      <c r="J9" s="195"/>
      <c r="K9" s="195"/>
      <c r="L9" s="417"/>
      <c r="M9" s="443" t="s">
        <v>1368</v>
      </c>
      <c r="N9" s="306"/>
      <c r="Q9" s="195"/>
      <c r="R9" s="195"/>
      <c r="S9" s="195"/>
    </row>
    <row r="10" spans="13:14" ht="12.75" hidden="1">
      <c r="M10" s="299"/>
      <c r="N10" s="306"/>
    </row>
    <row r="11" spans="6:14" ht="17.25" hidden="1" thickBot="1">
      <c r="F11" s="1" t="s">
        <v>637</v>
      </c>
      <c r="G11" s="779">
        <f>I12+I219+L1161</f>
        <v>4104639931.2004766</v>
      </c>
      <c r="H11" s="780"/>
      <c r="I11" s="780"/>
      <c r="J11" s="780"/>
      <c r="K11" s="780"/>
      <c r="L11" s="780"/>
      <c r="M11" s="444"/>
      <c r="N11" s="315"/>
    </row>
    <row r="12" spans="6:14" ht="16.5" hidden="1" thickBot="1">
      <c r="F12" s="3" t="s">
        <v>638</v>
      </c>
      <c r="G12" s="4" t="s">
        <v>622</v>
      </c>
      <c r="H12" s="5" t="s">
        <v>624</v>
      </c>
      <c r="I12" s="781">
        <f>L15+L22+L34+L50+L59+L82+L125+L147+L189+L192</f>
        <v>2704509026.196191</v>
      </c>
      <c r="J12" s="782"/>
      <c r="K12" s="782"/>
      <c r="L12" s="782"/>
      <c r="M12" s="49"/>
      <c r="N12" s="128"/>
    </row>
    <row r="13" spans="6:14" ht="15.75">
      <c r="F13" s="452"/>
      <c r="G13" s="186"/>
      <c r="H13" s="187"/>
      <c r="I13" s="188"/>
      <c r="J13" s="128"/>
      <c r="K13" s="128"/>
      <c r="L13" s="128"/>
      <c r="M13" s="49"/>
      <c r="N13" s="128"/>
    </row>
    <row r="14" spans="6:14" ht="16.5" thickBot="1">
      <c r="F14" s="452"/>
      <c r="G14" s="186"/>
      <c r="H14" s="187"/>
      <c r="I14" s="188"/>
      <c r="J14" s="128"/>
      <c r="K14" s="128"/>
      <c r="L14" s="128"/>
      <c r="M14" s="755"/>
      <c r="N14" s="128"/>
    </row>
    <row r="15" spans="6:14" ht="21" thickBot="1">
      <c r="F15" s="756" t="s">
        <v>926</v>
      </c>
      <c r="G15" s="757"/>
      <c r="H15" s="758"/>
      <c r="I15" s="759"/>
      <c r="J15" s="760"/>
      <c r="K15" s="760"/>
      <c r="L15" s="761">
        <f>L16+L22+L34+L48+L50+L59+L82+L125+L147+L189+L192</f>
        <v>1501754513.0980954</v>
      </c>
      <c r="M15" s="762"/>
      <c r="N15" s="316"/>
    </row>
    <row r="16" spans="5:14" ht="16.5">
      <c r="E16" s="269">
        <v>0</v>
      </c>
      <c r="F16" s="101" t="s">
        <v>639</v>
      </c>
      <c r="G16" s="6"/>
      <c r="H16" s="7"/>
      <c r="I16" s="8"/>
      <c r="J16" s="8"/>
      <c r="K16" s="8"/>
      <c r="L16" s="418">
        <f>SUM(L17:L20)</f>
        <v>149000000</v>
      </c>
      <c r="M16" s="418">
        <f>SUM(M17:M20)</f>
        <v>74000000</v>
      </c>
      <c r="N16" s="316"/>
    </row>
    <row r="17" spans="1:14" ht="14.25">
      <c r="A17" t="s">
        <v>1133</v>
      </c>
      <c r="B17" s="196">
        <v>4</v>
      </c>
      <c r="C17" s="409">
        <v>5</v>
      </c>
      <c r="D17" s="408">
        <v>1</v>
      </c>
      <c r="E17" s="407">
        <v>40000000</v>
      </c>
      <c r="F17" s="185" t="s">
        <v>298</v>
      </c>
      <c r="G17" s="6"/>
      <c r="H17" s="189">
        <v>1</v>
      </c>
      <c r="I17" s="190">
        <f>35000000+15000000</f>
        <v>50000000</v>
      </c>
      <c r="J17" s="8"/>
      <c r="K17" s="8"/>
      <c r="L17" s="419">
        <f>I17*H17</f>
        <v>50000000</v>
      </c>
      <c r="M17" s="17">
        <f>55000000-L17</f>
        <v>5000000</v>
      </c>
      <c r="N17" s="129"/>
    </row>
    <row r="18" spans="1:14" ht="14.25">
      <c r="A18" t="s">
        <v>1134</v>
      </c>
      <c r="B18" s="196">
        <v>4</v>
      </c>
      <c r="C18" s="409">
        <v>5</v>
      </c>
      <c r="D18" s="408">
        <v>1</v>
      </c>
      <c r="E18" s="407">
        <v>21000000</v>
      </c>
      <c r="F18" s="185" t="s">
        <v>1135</v>
      </c>
      <c r="G18" s="6"/>
      <c r="H18" s="189">
        <v>1</v>
      </c>
      <c r="I18" s="190">
        <f>46000000+19000000+10000000</f>
        <v>75000000</v>
      </c>
      <c r="J18" s="8"/>
      <c r="K18" s="8"/>
      <c r="L18" s="419">
        <f>I18*H18</f>
        <v>75000000</v>
      </c>
      <c r="M18" s="17">
        <f>80000000-L18</f>
        <v>5000000</v>
      </c>
      <c r="N18" s="129"/>
    </row>
    <row r="19" spans="1:15" ht="14.25">
      <c r="A19" t="s">
        <v>1133</v>
      </c>
      <c r="B19" s="196">
        <v>4</v>
      </c>
      <c r="C19" s="409">
        <v>5</v>
      </c>
      <c r="D19" s="408">
        <v>1</v>
      </c>
      <c r="E19" s="407">
        <v>69000000</v>
      </c>
      <c r="F19" s="185" t="s">
        <v>0</v>
      </c>
      <c r="G19" s="6"/>
      <c r="H19" s="189">
        <v>1</v>
      </c>
      <c r="I19" s="190">
        <v>24000000</v>
      </c>
      <c r="J19" s="8"/>
      <c r="K19" s="8"/>
      <c r="L19" s="419">
        <f>I19*H19</f>
        <v>24000000</v>
      </c>
      <c r="M19" s="17">
        <f>88000000-L19</f>
        <v>64000000</v>
      </c>
      <c r="N19" s="129"/>
      <c r="O19">
        <f>3016318+8468590+119404</f>
        <v>11604312</v>
      </c>
    </row>
    <row r="20" spans="1:14" ht="14.25">
      <c r="A20" t="s">
        <v>250</v>
      </c>
      <c r="B20" s="196">
        <v>4</v>
      </c>
      <c r="C20" s="409">
        <v>5</v>
      </c>
      <c r="D20" s="408">
        <v>1</v>
      </c>
      <c r="E20" s="407">
        <v>19000000</v>
      </c>
      <c r="F20" s="185" t="s">
        <v>1115</v>
      </c>
      <c r="G20" s="6"/>
      <c r="H20" s="189">
        <v>0</v>
      </c>
      <c r="I20" s="190">
        <v>19000000</v>
      </c>
      <c r="J20" s="8"/>
      <c r="K20" s="8"/>
      <c r="L20" s="419">
        <f>I20*H20</f>
        <v>0</v>
      </c>
      <c r="M20" s="17"/>
      <c r="N20" s="129" t="s">
        <v>1023</v>
      </c>
    </row>
    <row r="21" spans="4:14" ht="16.5">
      <c r="D21" s="228"/>
      <c r="E21" s="269"/>
      <c r="F21" s="101"/>
      <c r="G21" s="6"/>
      <c r="H21" s="7"/>
      <c r="I21" s="8"/>
      <c r="J21" s="8"/>
      <c r="K21" s="8"/>
      <c r="L21" s="418"/>
      <c r="M21" s="105"/>
      <c r="N21" s="316"/>
    </row>
    <row r="22" spans="2:14" ht="16.5">
      <c r="B22" s="196"/>
      <c r="C22" s="196"/>
      <c r="D22" s="196"/>
      <c r="E22" s="270">
        <v>13687000.002857143</v>
      </c>
      <c r="F22" s="102" t="s">
        <v>640</v>
      </c>
      <c r="G22" s="10"/>
      <c r="H22" s="11"/>
      <c r="I22" s="12"/>
      <c r="J22" s="12"/>
      <c r="K22" s="12">
        <f>J23+J24+J25</f>
        <v>9048498.8</v>
      </c>
      <c r="L22" s="420">
        <f>L32</f>
        <v>40000000.004761904</v>
      </c>
      <c r="M22" s="105"/>
      <c r="N22" s="316"/>
    </row>
    <row r="23" spans="1:14" ht="14.25">
      <c r="A23" t="s">
        <v>1140</v>
      </c>
      <c r="B23" s="196">
        <v>5</v>
      </c>
      <c r="C23" s="196">
        <v>4</v>
      </c>
      <c r="D23" s="85">
        <v>8</v>
      </c>
      <c r="E23" s="271">
        <v>336000</v>
      </c>
      <c r="F23" s="14" t="s">
        <v>1372</v>
      </c>
      <c r="G23" s="15"/>
      <c r="H23" s="16">
        <v>1</v>
      </c>
      <c r="I23" s="17">
        <v>142000</v>
      </c>
      <c r="J23" s="17"/>
      <c r="K23" s="17"/>
      <c r="L23" s="419">
        <f>(H23*I23)</f>
        <v>142000</v>
      </c>
      <c r="M23" s="17"/>
      <c r="N23" s="129"/>
    </row>
    <row r="24" spans="1:15" ht="14.25">
      <c r="A24" t="s">
        <v>1136</v>
      </c>
      <c r="B24" s="196">
        <v>5</v>
      </c>
      <c r="C24" s="196">
        <v>4</v>
      </c>
      <c r="D24" s="85">
        <v>11</v>
      </c>
      <c r="E24" s="271">
        <v>4946822.32</v>
      </c>
      <c r="F24" s="14" t="s">
        <v>641</v>
      </c>
      <c r="G24" s="15" t="s">
        <v>642</v>
      </c>
      <c r="H24" s="16">
        <v>15</v>
      </c>
      <c r="I24" s="17">
        <f>(376364+399000)/2*1.16</f>
        <v>449711.12</v>
      </c>
      <c r="J24" s="17">
        <f>H24*I24</f>
        <v>6745666.8</v>
      </c>
      <c r="K24" s="17">
        <f>I24</f>
        <v>449711.12</v>
      </c>
      <c r="L24" s="419">
        <f>H24*I24</f>
        <v>6745666.8</v>
      </c>
      <c r="M24" s="17" t="s">
        <v>1368</v>
      </c>
      <c r="N24" s="129"/>
      <c r="O24">
        <f>2581195+38000000</f>
        <v>40581195</v>
      </c>
    </row>
    <row r="25" spans="1:14" ht="14.25">
      <c r="A25" t="s">
        <v>1137</v>
      </c>
      <c r="B25" s="196">
        <v>5</v>
      </c>
      <c r="C25" s="196">
        <v>8</v>
      </c>
      <c r="D25" s="85">
        <v>1</v>
      </c>
      <c r="E25" s="271">
        <v>2581195.04</v>
      </c>
      <c r="F25" s="14" t="s">
        <v>643</v>
      </c>
      <c r="G25" s="15" t="s">
        <v>642</v>
      </c>
      <c r="H25" s="16">
        <v>1</v>
      </c>
      <c r="I25" s="17">
        <f>1985200*1.16</f>
        <v>2302832</v>
      </c>
      <c r="J25" s="17">
        <f>I25*H25</f>
        <v>2302832</v>
      </c>
      <c r="K25" s="17">
        <f>I25</f>
        <v>2302832</v>
      </c>
      <c r="L25" s="419">
        <f aca="true" t="shared" si="0" ref="L25:L30">(H25*I25)</f>
        <v>2302832</v>
      </c>
      <c r="M25" s="17"/>
      <c r="N25" s="129"/>
    </row>
    <row r="26" spans="1:14" ht="14.25">
      <c r="A26" t="s">
        <v>1138</v>
      </c>
      <c r="B26" s="196">
        <v>5</v>
      </c>
      <c r="C26" s="196">
        <v>4</v>
      </c>
      <c r="D26" s="85">
        <v>2</v>
      </c>
      <c r="E26" s="271">
        <v>11000000</v>
      </c>
      <c r="F26" s="14" t="s">
        <v>507</v>
      </c>
      <c r="G26" s="15"/>
      <c r="H26" s="16">
        <v>16</v>
      </c>
      <c r="I26" s="17">
        <v>1250000</v>
      </c>
      <c r="J26" s="17"/>
      <c r="K26" s="17" t="s">
        <v>1368</v>
      </c>
      <c r="L26" s="419">
        <f t="shared" si="0"/>
        <v>20000000</v>
      </c>
      <c r="M26" s="17"/>
      <c r="N26" s="129"/>
    </row>
    <row r="27" spans="1:14" ht="14.25">
      <c r="A27" t="s">
        <v>1139</v>
      </c>
      <c r="B27" s="196">
        <v>5</v>
      </c>
      <c r="C27" s="196">
        <v>3</v>
      </c>
      <c r="D27" s="85">
        <v>8</v>
      </c>
      <c r="E27" s="271">
        <v>801226.6666666666</v>
      </c>
      <c r="F27" s="14" t="s">
        <v>1531</v>
      </c>
      <c r="G27" s="15"/>
      <c r="H27" s="16">
        <v>2</v>
      </c>
      <c r="I27" s="17">
        <f>600920/3</f>
        <v>200306.66666666666</v>
      </c>
      <c r="J27" s="17"/>
      <c r="K27" s="17"/>
      <c r="L27" s="419">
        <f t="shared" si="0"/>
        <v>400613.3333333333</v>
      </c>
      <c r="M27" s="17"/>
      <c r="N27" s="129"/>
    </row>
    <row r="28" spans="1:14" ht="14.25">
      <c r="A28" t="s">
        <v>1138</v>
      </c>
      <c r="B28" s="196">
        <v>5</v>
      </c>
      <c r="C28" s="196">
        <v>4</v>
      </c>
      <c r="D28" s="85">
        <v>39</v>
      </c>
      <c r="E28" s="271">
        <v>1862982.642857143</v>
      </c>
      <c r="F28" s="14" t="s">
        <v>1370</v>
      </c>
      <c r="G28" s="15" t="s">
        <v>642</v>
      </c>
      <c r="H28" s="16">
        <v>30</v>
      </c>
      <c r="I28" s="17">
        <f>(668763/14)</f>
        <v>47768.78571428572</v>
      </c>
      <c r="J28" s="17">
        <f>H28*I28</f>
        <v>1433063.5714285716</v>
      </c>
      <c r="K28" s="17">
        <f>I28</f>
        <v>47768.78571428572</v>
      </c>
      <c r="L28" s="419">
        <f t="shared" si="0"/>
        <v>1433063.5714285716</v>
      </c>
      <c r="M28" s="17"/>
      <c r="N28" s="129"/>
    </row>
    <row r="29" spans="1:14" ht="14.25">
      <c r="A29" t="s">
        <v>1138</v>
      </c>
      <c r="B29" s="196">
        <v>5</v>
      </c>
      <c r="C29" s="196">
        <v>4</v>
      </c>
      <c r="D29" s="85">
        <v>11</v>
      </c>
      <c r="E29" s="271">
        <v>2860000</v>
      </c>
      <c r="F29" s="14" t="s">
        <v>1214</v>
      </c>
      <c r="G29" s="15"/>
      <c r="H29" s="16">
        <v>5</v>
      </c>
      <c r="I29" s="17">
        <v>260000</v>
      </c>
      <c r="J29" s="17"/>
      <c r="K29" s="17"/>
      <c r="L29" s="419">
        <f t="shared" si="0"/>
        <v>1300000</v>
      </c>
      <c r="M29" s="17"/>
      <c r="N29" s="129"/>
    </row>
    <row r="30" spans="2:14" ht="14.25">
      <c r="B30" s="196"/>
      <c r="C30" s="196"/>
      <c r="D30" s="85">
        <v>1</v>
      </c>
      <c r="E30" s="271">
        <v>1000000</v>
      </c>
      <c r="F30" s="14" t="s">
        <v>1213</v>
      </c>
      <c r="G30" s="15"/>
      <c r="H30" s="16">
        <v>1</v>
      </c>
      <c r="I30" s="17">
        <v>2000000</v>
      </c>
      <c r="J30" s="17"/>
      <c r="K30" s="17"/>
      <c r="L30" s="419">
        <f t="shared" si="0"/>
        <v>2000000</v>
      </c>
      <c r="M30" s="17"/>
      <c r="N30" s="129"/>
    </row>
    <row r="31" spans="2:14" ht="14.25">
      <c r="B31" s="196"/>
      <c r="C31" s="196"/>
      <c r="D31" s="85"/>
      <c r="E31" s="271"/>
      <c r="F31" s="14" t="s">
        <v>873</v>
      </c>
      <c r="G31" s="15"/>
      <c r="H31" s="16"/>
      <c r="I31" s="17"/>
      <c r="J31" s="17"/>
      <c r="K31" s="17"/>
      <c r="L31" s="419">
        <f>9287210.96-3611386.66</f>
        <v>5675824.300000001</v>
      </c>
      <c r="M31" s="17"/>
      <c r="N31" s="129"/>
    </row>
    <row r="32" spans="2:15" ht="14.25">
      <c r="B32" s="196"/>
      <c r="C32" s="196"/>
      <c r="D32" s="85"/>
      <c r="E32" s="271">
        <v>13687000.002857143</v>
      </c>
      <c r="F32" s="14" t="s">
        <v>644</v>
      </c>
      <c r="G32" s="15"/>
      <c r="H32" s="16"/>
      <c r="I32" s="17"/>
      <c r="J32" s="17"/>
      <c r="K32" s="17"/>
      <c r="L32" s="419">
        <f>SUM(L23:L31)</f>
        <v>40000000.004761904</v>
      </c>
      <c r="M32" s="17"/>
      <c r="N32" s="129"/>
      <c r="O32" s="286">
        <f>68000000-L22</f>
        <v>27999999.995238096</v>
      </c>
    </row>
    <row r="33" spans="2:14" ht="14.25">
      <c r="B33" s="196"/>
      <c r="C33" s="196"/>
      <c r="D33" s="242"/>
      <c r="E33" s="271"/>
      <c r="F33" s="14"/>
      <c r="G33" s="15"/>
      <c r="H33" s="16"/>
      <c r="I33" s="17"/>
      <c r="J33" s="17"/>
      <c r="K33" s="17"/>
      <c r="L33" s="419"/>
      <c r="M33" s="17"/>
      <c r="N33" s="129"/>
    </row>
    <row r="34" spans="2:14" ht="16.5">
      <c r="B34" s="196"/>
      <c r="C34" s="196"/>
      <c r="D34" s="266"/>
      <c r="E34" s="271">
        <v>2239000</v>
      </c>
      <c r="F34" s="102" t="s">
        <v>645</v>
      </c>
      <c r="G34" s="10"/>
      <c r="H34" s="11"/>
      <c r="I34" s="12"/>
      <c r="J34" s="12"/>
      <c r="K34" s="12"/>
      <c r="L34" s="420">
        <f>SUM(L35:L47)</f>
        <v>134000000</v>
      </c>
      <c r="M34" s="105"/>
      <c r="N34" s="316">
        <v>134000000</v>
      </c>
    </row>
    <row r="35" spans="1:14" ht="15">
      <c r="A35" t="s">
        <v>896</v>
      </c>
      <c r="B35" s="196">
        <v>5</v>
      </c>
      <c r="C35" s="196">
        <v>5</v>
      </c>
      <c r="D35" s="267">
        <v>1</v>
      </c>
      <c r="E35" s="271">
        <v>3234074</v>
      </c>
      <c r="F35" s="289" t="s">
        <v>1613</v>
      </c>
      <c r="G35" s="10"/>
      <c r="H35" s="177">
        <v>1</v>
      </c>
      <c r="I35" s="123">
        <v>3234074</v>
      </c>
      <c r="J35" s="12"/>
      <c r="K35" s="12"/>
      <c r="L35" s="419">
        <f aca="true" t="shared" si="1" ref="L35:L42">(H35*I35)</f>
        <v>3234074</v>
      </c>
      <c r="M35" s="17"/>
      <c r="N35" s="129"/>
    </row>
    <row r="36" spans="1:14" ht="16.5">
      <c r="A36" t="s">
        <v>1220</v>
      </c>
      <c r="B36" s="196">
        <v>5</v>
      </c>
      <c r="C36" s="196">
        <v>5</v>
      </c>
      <c r="D36" s="267">
        <v>40</v>
      </c>
      <c r="E36" s="271">
        <v>1995200</v>
      </c>
      <c r="F36" s="290" t="s">
        <v>1668</v>
      </c>
      <c r="G36" s="10"/>
      <c r="H36" s="177">
        <v>40</v>
      </c>
      <c r="I36" s="123">
        <f>(43000*1.16)</f>
        <v>49880</v>
      </c>
      <c r="J36" s="12"/>
      <c r="K36" s="12"/>
      <c r="L36" s="419">
        <f t="shared" si="1"/>
        <v>1995200</v>
      </c>
      <c r="M36" s="17"/>
      <c r="N36" s="316"/>
    </row>
    <row r="37" spans="1:15" ht="15">
      <c r="A37" t="s">
        <v>1143</v>
      </c>
      <c r="B37" s="196">
        <v>4</v>
      </c>
      <c r="C37" s="196">
        <v>5</v>
      </c>
      <c r="D37" s="267">
        <v>200</v>
      </c>
      <c r="E37" s="271">
        <v>35972800</v>
      </c>
      <c r="F37" s="290" t="s">
        <v>1676</v>
      </c>
      <c r="G37" s="10"/>
      <c r="H37" s="177">
        <v>200</v>
      </c>
      <c r="I37" s="123">
        <f>(279624/2)+40052</f>
        <v>179864</v>
      </c>
      <c r="J37" s="12"/>
      <c r="K37" s="12"/>
      <c r="L37" s="419">
        <f t="shared" si="1"/>
        <v>35972800</v>
      </c>
      <c r="M37" s="17"/>
      <c r="N37" s="129"/>
      <c r="O37">
        <f>144000000-10900000</f>
        <v>133100000</v>
      </c>
    </row>
    <row r="38" spans="1:14" ht="15">
      <c r="A38" t="s">
        <v>1145</v>
      </c>
      <c r="B38" s="196">
        <v>5</v>
      </c>
      <c r="C38" s="196">
        <v>5</v>
      </c>
      <c r="D38" s="267">
        <v>5</v>
      </c>
      <c r="E38" s="271">
        <v>5500000</v>
      </c>
      <c r="F38" s="290" t="s">
        <v>1615</v>
      </c>
      <c r="G38" s="10"/>
      <c r="H38" s="177">
        <v>5</v>
      </c>
      <c r="I38" s="123">
        <v>1100000</v>
      </c>
      <c r="J38" s="12"/>
      <c r="K38" s="12"/>
      <c r="L38" s="419">
        <f t="shared" si="1"/>
        <v>5500000</v>
      </c>
      <c r="M38" s="17"/>
      <c r="N38" s="129"/>
    </row>
    <row r="39" spans="1:15" ht="15">
      <c r="A39" t="s">
        <v>1144</v>
      </c>
      <c r="B39" s="196">
        <v>4</v>
      </c>
      <c r="C39" s="196">
        <v>5</v>
      </c>
      <c r="D39" s="267">
        <v>5</v>
      </c>
      <c r="E39" s="271">
        <v>27500000</v>
      </c>
      <c r="F39" s="290" t="s">
        <v>1614</v>
      </c>
      <c r="G39" s="10"/>
      <c r="H39" s="177">
        <v>4</v>
      </c>
      <c r="I39" s="123">
        <v>5500000</v>
      </c>
      <c r="J39" s="12"/>
      <c r="K39" s="12"/>
      <c r="L39" s="419">
        <f t="shared" si="1"/>
        <v>22000000</v>
      </c>
      <c r="M39" s="17"/>
      <c r="N39" s="129"/>
      <c r="O39" s="286">
        <f>144000000-L34</f>
        <v>10000000</v>
      </c>
    </row>
    <row r="40" spans="1:14" ht="15">
      <c r="A40" t="s">
        <v>1144</v>
      </c>
      <c r="B40" s="196">
        <v>4</v>
      </c>
      <c r="C40" s="196">
        <v>5</v>
      </c>
      <c r="D40" s="267">
        <v>3</v>
      </c>
      <c r="E40" s="271">
        <v>21000000</v>
      </c>
      <c r="F40" s="290" t="s">
        <v>1550</v>
      </c>
      <c r="G40" s="10"/>
      <c r="H40" s="177">
        <v>3</v>
      </c>
      <c r="I40" s="123">
        <v>7000000</v>
      </c>
      <c r="J40" s="12"/>
      <c r="K40" s="12"/>
      <c r="L40" s="419">
        <f t="shared" si="1"/>
        <v>21000000</v>
      </c>
      <c r="M40" s="17"/>
      <c r="N40" s="129"/>
    </row>
    <row r="41" spans="1:15" ht="14.25">
      <c r="A41" t="s">
        <v>1271</v>
      </c>
      <c r="B41" s="196">
        <v>5</v>
      </c>
      <c r="C41" s="196">
        <v>5</v>
      </c>
      <c r="D41" s="267">
        <v>3</v>
      </c>
      <c r="E41" s="271">
        <v>285172.8</v>
      </c>
      <c r="F41" s="2" t="s">
        <v>623</v>
      </c>
      <c r="G41" s="95"/>
      <c r="H41" s="16">
        <v>30</v>
      </c>
      <c r="I41" s="17">
        <f>32750*1.16</f>
        <v>37990</v>
      </c>
      <c r="J41" s="17"/>
      <c r="K41" s="17"/>
      <c r="L41" s="419">
        <f t="shared" si="1"/>
        <v>1139700</v>
      </c>
      <c r="M41" s="17"/>
      <c r="N41" s="129"/>
      <c r="O41">
        <f>10900002/10</f>
        <v>1090000.2</v>
      </c>
    </row>
    <row r="42" spans="1:14" ht="14.25">
      <c r="A42" t="s">
        <v>1271</v>
      </c>
      <c r="B42" s="196">
        <v>5</v>
      </c>
      <c r="C42" s="196">
        <v>5</v>
      </c>
      <c r="D42" s="267">
        <v>3</v>
      </c>
      <c r="E42" s="271">
        <v>1139700</v>
      </c>
      <c r="F42" s="2" t="s">
        <v>350</v>
      </c>
      <c r="G42" s="95"/>
      <c r="H42" s="16">
        <v>30</v>
      </c>
      <c r="I42" s="17">
        <f>32750*1.16</f>
        <v>37990</v>
      </c>
      <c r="J42" s="17"/>
      <c r="K42" s="17"/>
      <c r="L42" s="419">
        <f t="shared" si="1"/>
        <v>1139700</v>
      </c>
      <c r="M42" s="17"/>
      <c r="N42" s="129"/>
    </row>
    <row r="43" spans="1:14" ht="16.5">
      <c r="A43" t="s">
        <v>1142</v>
      </c>
      <c r="B43" s="196">
        <v>5</v>
      </c>
      <c r="C43" s="196">
        <v>5</v>
      </c>
      <c r="D43" s="267">
        <v>1</v>
      </c>
      <c r="E43" s="271"/>
      <c r="F43" s="290" t="s">
        <v>351</v>
      </c>
      <c r="G43" s="10"/>
      <c r="H43" s="11">
        <v>1</v>
      </c>
      <c r="I43" s="12">
        <v>12000000</v>
      </c>
      <c r="J43" s="12"/>
      <c r="K43" s="12"/>
      <c r="L43" s="420"/>
      <c r="M43" s="105"/>
      <c r="N43" s="129"/>
    </row>
    <row r="44" spans="1:14" ht="15">
      <c r="A44" t="s">
        <v>1141</v>
      </c>
      <c r="B44" s="196">
        <v>5</v>
      </c>
      <c r="C44" s="196">
        <v>5</v>
      </c>
      <c r="D44" s="267">
        <v>5</v>
      </c>
      <c r="E44" s="271">
        <v>950000.1</v>
      </c>
      <c r="F44" s="749" t="s">
        <v>1611</v>
      </c>
      <c r="G44" s="10"/>
      <c r="H44" s="177">
        <v>5</v>
      </c>
      <c r="I44" s="123">
        <v>190000.02</v>
      </c>
      <c r="J44" s="12"/>
      <c r="K44" s="12"/>
      <c r="L44" s="419">
        <f>(H44*I44)</f>
        <v>950000.1</v>
      </c>
      <c r="M44" s="17"/>
      <c r="N44" s="129"/>
    </row>
    <row r="45" spans="1:14" ht="15">
      <c r="A45" t="s">
        <v>914</v>
      </c>
      <c r="B45" s="196">
        <v>5</v>
      </c>
      <c r="C45" s="196">
        <v>5</v>
      </c>
      <c r="D45" s="267">
        <v>5</v>
      </c>
      <c r="E45" s="271">
        <v>19639999.9</v>
      </c>
      <c r="F45" s="749" t="s">
        <v>1612</v>
      </c>
      <c r="G45" s="10"/>
      <c r="H45" s="177">
        <v>5</v>
      </c>
      <c r="I45" s="123">
        <v>3927999.98</v>
      </c>
      <c r="J45" s="12"/>
      <c r="K45" s="12"/>
      <c r="L45" s="419">
        <f>(H45*I45)</f>
        <v>19639999.9</v>
      </c>
      <c r="M45" s="17"/>
      <c r="N45" s="129"/>
    </row>
    <row r="46" spans="2:15" ht="15.75" customHeight="1">
      <c r="B46" s="196">
        <v>5</v>
      </c>
      <c r="C46" s="196">
        <v>5</v>
      </c>
      <c r="D46" s="267">
        <v>10</v>
      </c>
      <c r="E46" s="271">
        <v>7922753.199999999</v>
      </c>
      <c r="F46" s="290" t="s">
        <v>1114</v>
      </c>
      <c r="G46" s="10"/>
      <c r="H46" s="177"/>
      <c r="I46" s="123"/>
      <c r="J46" s="12"/>
      <c r="K46" s="12"/>
      <c r="L46" s="419">
        <f>5000000+722753.18+0.02+2200000</f>
        <v>7922753.199999999</v>
      </c>
      <c r="M46" s="17"/>
      <c r="N46" s="286">
        <f>N34-L34</f>
        <v>0</v>
      </c>
      <c r="O46" s="286">
        <f>4642118+O39</f>
        <v>14642118</v>
      </c>
    </row>
    <row r="47" spans="2:15" ht="15.75" customHeight="1">
      <c r="B47" s="196"/>
      <c r="C47" s="196"/>
      <c r="D47" s="267"/>
      <c r="E47" s="271"/>
      <c r="F47" s="290" t="s">
        <v>866</v>
      </c>
      <c r="G47" s="10"/>
      <c r="H47" s="177"/>
      <c r="I47" s="123"/>
      <c r="J47" s="12"/>
      <c r="K47" s="12"/>
      <c r="L47" s="419">
        <f>10000000+3505772.8</f>
        <v>13505772.8</v>
      </c>
      <c r="M47" s="17"/>
      <c r="N47" s="129">
        <f>134000000-L34</f>
        <v>0</v>
      </c>
      <c r="O47">
        <f>121681409.13-120000000</f>
        <v>1681409.1299999952</v>
      </c>
    </row>
    <row r="48" spans="1:14" ht="15.75" customHeight="1">
      <c r="A48" t="s">
        <v>251</v>
      </c>
      <c r="B48" s="196"/>
      <c r="C48" s="196"/>
      <c r="D48" s="267"/>
      <c r="E48" s="271">
        <v>2000000</v>
      </c>
      <c r="F48" s="291" t="s">
        <v>857</v>
      </c>
      <c r="G48" s="10"/>
      <c r="H48" s="177"/>
      <c r="I48" s="123"/>
      <c r="J48" s="12"/>
      <c r="K48" s="12"/>
      <c r="L48" s="421">
        <v>150000000</v>
      </c>
      <c r="M48" s="18"/>
      <c r="N48" s="317">
        <f>N47/5</f>
        <v>0</v>
      </c>
    </row>
    <row r="49" spans="2:14" ht="15.75" customHeight="1">
      <c r="B49" s="196"/>
      <c r="C49" s="196"/>
      <c r="D49" s="267"/>
      <c r="E49" s="271"/>
      <c r="F49" s="179" t="s">
        <v>1368</v>
      </c>
      <c r="G49" s="10"/>
      <c r="H49" s="11"/>
      <c r="I49" s="12"/>
      <c r="J49" s="12"/>
      <c r="K49" s="12"/>
      <c r="L49" s="420"/>
      <c r="M49" s="105"/>
      <c r="N49" s="316"/>
    </row>
    <row r="50" spans="2:15" ht="16.5">
      <c r="B50" s="196"/>
      <c r="C50" s="196"/>
      <c r="D50" s="198"/>
      <c r="E50" s="272">
        <v>1673000</v>
      </c>
      <c r="F50" s="102" t="s">
        <v>1430</v>
      </c>
      <c r="G50" s="10"/>
      <c r="H50" s="11"/>
      <c r="I50" s="12"/>
      <c r="J50" s="12"/>
      <c r="K50" s="12"/>
      <c r="L50" s="420">
        <f>L57</f>
        <v>5000000</v>
      </c>
      <c r="M50" s="105"/>
      <c r="N50" s="316"/>
      <c r="O50" s="286">
        <f>L50-1044000</f>
        <v>3956000</v>
      </c>
    </row>
    <row r="51" spans="1:14" ht="14.25">
      <c r="A51" t="s">
        <v>654</v>
      </c>
      <c r="B51" s="196">
        <v>5</v>
      </c>
      <c r="C51" s="196">
        <v>8</v>
      </c>
      <c r="D51" s="85">
        <v>2</v>
      </c>
      <c r="E51" s="271">
        <v>118000</v>
      </c>
      <c r="F51" s="14" t="s">
        <v>646</v>
      </c>
      <c r="G51" s="15" t="s">
        <v>642</v>
      </c>
      <c r="H51" s="16">
        <v>2</v>
      </c>
      <c r="I51" s="17">
        <f>59000+208.75</f>
        <v>59208.75</v>
      </c>
      <c r="J51" s="17"/>
      <c r="K51" s="17"/>
      <c r="L51" s="419">
        <f>H51*I51</f>
        <v>118417.5</v>
      </c>
      <c r="M51" s="17"/>
      <c r="N51" s="129"/>
    </row>
    <row r="52" spans="1:14" ht="14.25">
      <c r="A52" t="s">
        <v>655</v>
      </c>
      <c r="B52" s="196">
        <v>5</v>
      </c>
      <c r="C52" s="196">
        <v>8</v>
      </c>
      <c r="D52" s="85">
        <v>4</v>
      </c>
      <c r="E52" s="271">
        <v>1528000</v>
      </c>
      <c r="F52" s="14" t="s">
        <v>647</v>
      </c>
      <c r="G52" s="15" t="s">
        <v>642</v>
      </c>
      <c r="H52" s="16">
        <v>3</v>
      </c>
      <c r="I52" s="17">
        <v>423633</v>
      </c>
      <c r="J52" s="17"/>
      <c r="K52" s="17"/>
      <c r="L52" s="419">
        <f>H52*I52</f>
        <v>1270899</v>
      </c>
      <c r="M52" s="17"/>
      <c r="N52" s="129"/>
    </row>
    <row r="53" spans="2:14" ht="14.25">
      <c r="B53" s="196"/>
      <c r="C53" s="196"/>
      <c r="D53" s="85"/>
      <c r="E53" s="271"/>
      <c r="F53" s="83" t="s">
        <v>513</v>
      </c>
      <c r="G53" s="15" t="s">
        <v>649</v>
      </c>
      <c r="H53" s="16">
        <v>2</v>
      </c>
      <c r="I53" s="17">
        <f>2019998/2</f>
        <v>1009999</v>
      </c>
      <c r="J53" s="17"/>
      <c r="K53" s="17"/>
      <c r="L53" s="419">
        <f>H53*I53</f>
        <v>2019998</v>
      </c>
      <c r="M53" s="17"/>
      <c r="N53" s="129"/>
    </row>
    <row r="54" spans="2:14" ht="14.25">
      <c r="B54" s="196"/>
      <c r="C54" s="196"/>
      <c r="D54" s="85"/>
      <c r="E54" s="271"/>
      <c r="F54" s="410" t="s">
        <v>300</v>
      </c>
      <c r="G54" s="15"/>
      <c r="H54" s="411">
        <v>2</v>
      </c>
      <c r="I54" s="412">
        <v>400000</v>
      </c>
      <c r="J54" s="17"/>
      <c r="K54" s="17"/>
      <c r="L54" s="419">
        <f>H54*I54</f>
        <v>800000</v>
      </c>
      <c r="M54" s="17"/>
      <c r="N54" s="129"/>
    </row>
    <row r="55" spans="1:15" ht="14.25">
      <c r="A55" t="s">
        <v>898</v>
      </c>
      <c r="B55" s="196">
        <v>5</v>
      </c>
      <c r="C55" s="196">
        <v>8</v>
      </c>
      <c r="D55" s="85">
        <v>2</v>
      </c>
      <c r="E55" s="271">
        <v>27000</v>
      </c>
      <c r="F55" s="83" t="s">
        <v>648</v>
      </c>
      <c r="G55" s="15" t="s">
        <v>649</v>
      </c>
      <c r="H55" s="16">
        <v>9</v>
      </c>
      <c r="I55" s="17">
        <v>13000</v>
      </c>
      <c r="J55" s="17"/>
      <c r="K55" s="17"/>
      <c r="L55" s="419">
        <f>H55*I55</f>
        <v>117000</v>
      </c>
      <c r="M55" s="17"/>
      <c r="N55" s="129"/>
      <c r="O55" t="s">
        <v>1368</v>
      </c>
    </row>
    <row r="56" spans="2:14" ht="14.25">
      <c r="B56" s="196"/>
      <c r="C56" s="196"/>
      <c r="D56" s="85"/>
      <c r="E56" s="271"/>
      <c r="F56" s="83" t="s">
        <v>425</v>
      </c>
      <c r="G56" s="15"/>
      <c r="H56" s="16"/>
      <c r="I56" s="17"/>
      <c r="J56" s="17"/>
      <c r="K56" s="17"/>
      <c r="L56" s="419">
        <f>850000-19998-156316.5</f>
        <v>673685.5</v>
      </c>
      <c r="M56" s="17"/>
      <c r="N56" s="129"/>
    </row>
    <row r="57" spans="2:15" ht="14.25">
      <c r="B57" s="196"/>
      <c r="C57" s="196"/>
      <c r="D57" s="85"/>
      <c r="E57" s="271">
        <v>1673000</v>
      </c>
      <c r="F57" s="14" t="s">
        <v>644</v>
      </c>
      <c r="G57" s="15"/>
      <c r="H57" s="16"/>
      <c r="I57" s="17"/>
      <c r="J57" s="17"/>
      <c r="K57" s="17"/>
      <c r="L57" s="419">
        <f>SUM(L51:L56)</f>
        <v>5000000</v>
      </c>
      <c r="M57" s="17"/>
      <c r="N57" s="129"/>
      <c r="O57" t="s">
        <v>1368</v>
      </c>
    </row>
    <row r="58" spans="2:14" ht="14.25">
      <c r="B58" s="196"/>
      <c r="C58" s="196"/>
      <c r="D58" s="85"/>
      <c r="E58" s="271"/>
      <c r="F58" s="14"/>
      <c r="G58" s="15"/>
      <c r="H58" s="16"/>
      <c r="I58" s="17"/>
      <c r="J58" s="17"/>
      <c r="K58" s="17"/>
      <c r="L58" s="419"/>
      <c r="M58" s="17"/>
      <c r="N58" s="129"/>
    </row>
    <row r="59" spans="2:15" ht="16.5">
      <c r="B59" s="196"/>
      <c r="C59" s="196"/>
      <c r="D59" s="198"/>
      <c r="E59" s="272">
        <v>21839999.998</v>
      </c>
      <c r="F59" s="102" t="s">
        <v>650</v>
      </c>
      <c r="G59" s="10"/>
      <c r="H59" s="11"/>
      <c r="I59" s="12"/>
      <c r="J59" s="12"/>
      <c r="K59" s="12"/>
      <c r="L59" s="420">
        <f>L80</f>
        <v>280000000</v>
      </c>
      <c r="M59" s="105"/>
      <c r="N59" s="316"/>
      <c r="O59">
        <v>280000000</v>
      </c>
    </row>
    <row r="60" spans="1:15" ht="14.25">
      <c r="A60" t="s">
        <v>656</v>
      </c>
      <c r="B60" s="196">
        <v>4</v>
      </c>
      <c r="C60" s="196">
        <v>5</v>
      </c>
      <c r="D60" s="85">
        <v>9</v>
      </c>
      <c r="E60" s="271">
        <v>8991000</v>
      </c>
      <c r="F60" s="14" t="s">
        <v>732</v>
      </c>
      <c r="G60" s="15" t="s">
        <v>642</v>
      </c>
      <c r="H60" s="16">
        <v>30</v>
      </c>
      <c r="I60" s="17">
        <v>1840000</v>
      </c>
      <c r="J60" s="17"/>
      <c r="K60" s="17"/>
      <c r="L60" s="419">
        <f aca="true" t="shared" si="2" ref="L60:L78">H60*I60</f>
        <v>55200000</v>
      </c>
      <c r="M60" s="17"/>
      <c r="N60" s="129"/>
      <c r="O60" s="286">
        <f>O59-L59</f>
        <v>0</v>
      </c>
    </row>
    <row r="61" spans="1:14" ht="14.25">
      <c r="A61" t="s">
        <v>656</v>
      </c>
      <c r="B61" s="196">
        <v>4</v>
      </c>
      <c r="C61" s="196">
        <v>7</v>
      </c>
      <c r="D61" s="85">
        <v>1</v>
      </c>
      <c r="E61" s="271">
        <v>0</v>
      </c>
      <c r="F61" s="83" t="s">
        <v>1107</v>
      </c>
      <c r="G61" s="15" t="s">
        <v>642</v>
      </c>
      <c r="H61" s="411">
        <v>3</v>
      </c>
      <c r="I61" s="412">
        <v>68000000</v>
      </c>
      <c r="J61" s="17"/>
      <c r="K61" s="17"/>
      <c r="L61" s="419">
        <f t="shared" si="2"/>
        <v>204000000</v>
      </c>
      <c r="M61" s="17"/>
      <c r="N61" s="129"/>
    </row>
    <row r="62" spans="1:14" ht="14.25">
      <c r="A62" t="s">
        <v>247</v>
      </c>
      <c r="B62" s="196">
        <v>5</v>
      </c>
      <c r="C62" s="196">
        <v>6</v>
      </c>
      <c r="D62" s="85">
        <v>18</v>
      </c>
      <c r="E62" s="271">
        <v>28814.4</v>
      </c>
      <c r="F62" s="83" t="s">
        <v>693</v>
      </c>
      <c r="G62" s="15" t="s">
        <v>642</v>
      </c>
      <c r="H62" s="16">
        <v>25</v>
      </c>
      <c r="I62" s="17">
        <f>(1380*1.16)</f>
        <v>1600.8</v>
      </c>
      <c r="J62" s="17" t="e">
        <f>#REF!*H62</f>
        <v>#REF!</v>
      </c>
      <c r="K62" s="17" t="e">
        <f>J62*6%</f>
        <v>#REF!</v>
      </c>
      <c r="L62" s="419">
        <f t="shared" si="2"/>
        <v>40020</v>
      </c>
      <c r="M62" s="17"/>
      <c r="N62" s="129"/>
    </row>
    <row r="63" spans="1:14" ht="14.25">
      <c r="A63" t="s">
        <v>1221</v>
      </c>
      <c r="B63" s="196">
        <v>5</v>
      </c>
      <c r="C63" s="196">
        <v>7</v>
      </c>
      <c r="D63" s="85">
        <v>2</v>
      </c>
      <c r="E63" s="271">
        <v>44514</v>
      </c>
      <c r="F63" s="14" t="s">
        <v>1371</v>
      </c>
      <c r="G63" s="15" t="s">
        <v>642</v>
      </c>
      <c r="H63" s="16">
        <v>5</v>
      </c>
      <c r="I63" s="17">
        <f>(12000+32514)/2</f>
        <v>22257</v>
      </c>
      <c r="J63" s="17"/>
      <c r="K63" s="17"/>
      <c r="L63" s="419">
        <f t="shared" si="2"/>
        <v>111285</v>
      </c>
      <c r="M63" s="17"/>
      <c r="N63" s="129"/>
    </row>
    <row r="64" spans="1:14" ht="14.25">
      <c r="A64" t="s">
        <v>1221</v>
      </c>
      <c r="B64" s="196">
        <v>5</v>
      </c>
      <c r="C64" s="196">
        <v>6</v>
      </c>
      <c r="D64" s="85">
        <v>5</v>
      </c>
      <c r="E64" s="271">
        <v>899998</v>
      </c>
      <c r="F64" s="83" t="s">
        <v>694</v>
      </c>
      <c r="G64" s="15" t="s">
        <v>642</v>
      </c>
      <c r="H64" s="16">
        <v>3</v>
      </c>
      <c r="I64" s="17">
        <v>537776</v>
      </c>
      <c r="J64" s="17"/>
      <c r="K64" s="17"/>
      <c r="L64" s="419">
        <f t="shared" si="2"/>
        <v>1613328</v>
      </c>
      <c r="M64" s="500" t="s">
        <v>1368</v>
      </c>
      <c r="N64" s="129" t="s">
        <v>1368</v>
      </c>
    </row>
    <row r="65" spans="1:14" ht="14.25">
      <c r="A65" t="s">
        <v>657</v>
      </c>
      <c r="B65" s="196">
        <v>5</v>
      </c>
      <c r="C65" s="196">
        <v>6</v>
      </c>
      <c r="D65" s="85">
        <v>100</v>
      </c>
      <c r="E65" s="271">
        <v>564920</v>
      </c>
      <c r="F65" s="14" t="s">
        <v>696</v>
      </c>
      <c r="G65" s="15" t="s">
        <v>642</v>
      </c>
      <c r="H65" s="16">
        <v>100</v>
      </c>
      <c r="I65" s="17">
        <f>(4890+4850)/2*1.16</f>
        <v>5649.2</v>
      </c>
      <c r="J65" s="17"/>
      <c r="K65" s="17"/>
      <c r="L65" s="419">
        <f t="shared" si="2"/>
        <v>564920</v>
      </c>
      <c r="M65" s="17"/>
      <c r="N65" s="129" t="s">
        <v>1368</v>
      </c>
    </row>
    <row r="66" spans="1:14" ht="14.25">
      <c r="A66" t="s">
        <v>657</v>
      </c>
      <c r="B66" s="196">
        <v>5</v>
      </c>
      <c r="C66" s="196">
        <v>6</v>
      </c>
      <c r="D66" s="85">
        <v>5</v>
      </c>
      <c r="E66" s="271">
        <v>615003</v>
      </c>
      <c r="F66" s="14" t="s">
        <v>695</v>
      </c>
      <c r="G66" s="15" t="s">
        <v>642</v>
      </c>
      <c r="H66" s="16">
        <v>10</v>
      </c>
      <c r="I66" s="17">
        <f>(118320+93750)/2*1.16</f>
        <v>123000.59999999999</v>
      </c>
      <c r="J66" s="17"/>
      <c r="K66" s="17"/>
      <c r="L66" s="419">
        <f t="shared" si="2"/>
        <v>1230006</v>
      </c>
      <c r="M66" s="17"/>
      <c r="N66" s="129"/>
    </row>
    <row r="67" spans="1:14" ht="14.25">
      <c r="A67" t="s">
        <v>246</v>
      </c>
      <c r="B67" s="196">
        <v>5</v>
      </c>
      <c r="C67" s="196">
        <v>6</v>
      </c>
      <c r="D67" s="85">
        <v>1</v>
      </c>
      <c r="E67" s="271">
        <v>660150</v>
      </c>
      <c r="F67" s="83" t="s">
        <v>1454</v>
      </c>
      <c r="G67" s="15"/>
      <c r="H67" s="16">
        <v>1</v>
      </c>
      <c r="I67" s="17">
        <f>(1310800+59500)/2</f>
        <v>685150</v>
      </c>
      <c r="J67" s="17"/>
      <c r="K67" s="17"/>
      <c r="L67" s="419">
        <f t="shared" si="2"/>
        <v>685150</v>
      </c>
      <c r="M67" s="17"/>
      <c r="N67" s="129"/>
    </row>
    <row r="68" spans="1:14" ht="14.25">
      <c r="A68" t="s">
        <v>1223</v>
      </c>
      <c r="B68" s="196">
        <v>5</v>
      </c>
      <c r="C68" s="196">
        <v>6</v>
      </c>
      <c r="D68" s="85">
        <v>48</v>
      </c>
      <c r="E68" s="271">
        <v>143654.4</v>
      </c>
      <c r="F68" s="14" t="s">
        <v>1518</v>
      </c>
      <c r="G68" s="15" t="s">
        <v>642</v>
      </c>
      <c r="H68" s="16">
        <v>68</v>
      </c>
      <c r="I68" s="17">
        <f>(2580*1.16)</f>
        <v>2992.7999999999997</v>
      </c>
      <c r="J68" s="17"/>
      <c r="K68" s="17"/>
      <c r="L68" s="419">
        <f t="shared" si="2"/>
        <v>203510.4</v>
      </c>
      <c r="M68" s="17"/>
      <c r="N68" s="129" t="s">
        <v>534</v>
      </c>
    </row>
    <row r="69" spans="1:14" ht="14.25">
      <c r="A69" t="s">
        <v>658</v>
      </c>
      <c r="B69" s="196">
        <v>5</v>
      </c>
      <c r="C69" s="196">
        <v>6</v>
      </c>
      <c r="D69" s="85">
        <v>1</v>
      </c>
      <c r="E69" s="271">
        <v>205451.2</v>
      </c>
      <c r="F69" s="14" t="s">
        <v>1461</v>
      </c>
      <c r="G69" s="15" t="s">
        <v>642</v>
      </c>
      <c r="H69" s="16">
        <v>3</v>
      </c>
      <c r="I69" s="17">
        <f>605451.2-400000</f>
        <v>205451.19999999995</v>
      </c>
      <c r="J69" s="17"/>
      <c r="K69" s="17"/>
      <c r="L69" s="419">
        <f t="shared" si="2"/>
        <v>616353.5999999999</v>
      </c>
      <c r="M69" s="17"/>
      <c r="N69" s="129"/>
    </row>
    <row r="70" spans="1:14" ht="14.25">
      <c r="A70" t="s">
        <v>659</v>
      </c>
      <c r="B70" s="196">
        <v>5</v>
      </c>
      <c r="C70" s="196">
        <v>6</v>
      </c>
      <c r="D70" s="85">
        <v>5</v>
      </c>
      <c r="E70" s="271">
        <v>347884</v>
      </c>
      <c r="F70" s="14" t="s">
        <v>697</v>
      </c>
      <c r="G70" s="15" t="s">
        <v>642</v>
      </c>
      <c r="H70" s="16">
        <v>5</v>
      </c>
      <c r="I70" s="17">
        <f>(59980*1.16)</f>
        <v>69576.79999999999</v>
      </c>
      <c r="J70" s="17"/>
      <c r="K70" s="17"/>
      <c r="L70" s="419">
        <f t="shared" si="2"/>
        <v>347883.99999999994</v>
      </c>
      <c r="M70" s="17"/>
      <c r="N70" s="129"/>
    </row>
    <row r="71" spans="1:19" ht="14.25">
      <c r="A71" t="s">
        <v>660</v>
      </c>
      <c r="B71" s="196">
        <v>5</v>
      </c>
      <c r="C71" s="196">
        <v>6</v>
      </c>
      <c r="D71" s="85">
        <v>10</v>
      </c>
      <c r="E71" s="271">
        <v>540000</v>
      </c>
      <c r="F71" s="14" t="s">
        <v>698</v>
      </c>
      <c r="G71" s="15" t="s">
        <v>642</v>
      </c>
      <c r="H71" s="16">
        <v>20</v>
      </c>
      <c r="I71" s="17">
        <v>54000</v>
      </c>
      <c r="J71" s="17"/>
      <c r="K71" s="17"/>
      <c r="L71" s="419">
        <f t="shared" si="2"/>
        <v>1080000</v>
      </c>
      <c r="M71" s="17"/>
      <c r="N71" s="129"/>
      <c r="Q71" s="513">
        <v>1</v>
      </c>
      <c r="R71" s="513">
        <v>72020</v>
      </c>
      <c r="S71" s="513">
        <f>+Q71*R71</f>
        <v>72020</v>
      </c>
    </row>
    <row r="72" spans="1:14" ht="14.25">
      <c r="A72" t="s">
        <v>662</v>
      </c>
      <c r="B72" s="196">
        <v>5</v>
      </c>
      <c r="C72" s="196">
        <v>6</v>
      </c>
      <c r="D72" s="85">
        <v>100</v>
      </c>
      <c r="E72" s="271">
        <v>504901.6</v>
      </c>
      <c r="F72" s="14" t="s">
        <v>700</v>
      </c>
      <c r="G72" s="15" t="s">
        <v>642</v>
      </c>
      <c r="H72" s="16">
        <v>100</v>
      </c>
      <c r="I72" s="17">
        <f>(6055.2+2650)/2*1.16</f>
        <v>5049.016</v>
      </c>
      <c r="J72" s="17"/>
      <c r="K72" s="17"/>
      <c r="L72" s="419">
        <f t="shared" si="2"/>
        <v>504901.6</v>
      </c>
      <c r="M72" s="17"/>
      <c r="N72" s="129"/>
    </row>
    <row r="73" spans="1:14" ht="14.25">
      <c r="A73" t="s">
        <v>661</v>
      </c>
      <c r="B73" s="196">
        <v>5</v>
      </c>
      <c r="C73" s="196">
        <v>6</v>
      </c>
      <c r="D73" s="85">
        <v>13</v>
      </c>
      <c r="E73" s="271">
        <v>2282291.648</v>
      </c>
      <c r="F73" s="14" t="s">
        <v>699</v>
      </c>
      <c r="G73" s="15" t="s">
        <v>642</v>
      </c>
      <c r="H73" s="16">
        <v>10</v>
      </c>
      <c r="I73" s="17">
        <f>(76245.6+75100)*1.16</f>
        <v>175560.896</v>
      </c>
      <c r="J73" s="17"/>
      <c r="K73" s="17"/>
      <c r="L73" s="419">
        <f t="shared" si="2"/>
        <v>1755608.96</v>
      </c>
      <c r="M73" s="17"/>
      <c r="N73" s="129"/>
    </row>
    <row r="74" spans="1:14" ht="14.25">
      <c r="A74" t="s">
        <v>663</v>
      </c>
      <c r="B74" s="196">
        <v>5</v>
      </c>
      <c r="C74" s="196">
        <v>6</v>
      </c>
      <c r="D74" s="85">
        <v>70</v>
      </c>
      <c r="E74" s="271">
        <v>70000</v>
      </c>
      <c r="F74" s="14" t="s">
        <v>263</v>
      </c>
      <c r="G74" s="15"/>
      <c r="H74" s="16">
        <v>100</v>
      </c>
      <c r="I74" s="17">
        <v>1000</v>
      </c>
      <c r="J74" s="17"/>
      <c r="K74" s="17"/>
      <c r="L74" s="419">
        <f t="shared" si="2"/>
        <v>100000</v>
      </c>
      <c r="M74" s="17"/>
      <c r="N74" s="129"/>
    </row>
    <row r="75" spans="1:14" ht="14.25">
      <c r="A75" t="s">
        <v>664</v>
      </c>
      <c r="B75" s="196">
        <v>5</v>
      </c>
      <c r="C75" s="196">
        <v>6</v>
      </c>
      <c r="D75" s="85">
        <v>9</v>
      </c>
      <c r="E75" s="271">
        <v>540000</v>
      </c>
      <c r="F75" s="14" t="s">
        <v>701</v>
      </c>
      <c r="G75" s="15" t="s">
        <v>642</v>
      </c>
      <c r="H75" s="16">
        <v>20</v>
      </c>
      <c r="I75" s="17">
        <v>60000</v>
      </c>
      <c r="J75" s="17"/>
      <c r="K75" s="17"/>
      <c r="L75" s="419">
        <f t="shared" si="2"/>
        <v>1200000</v>
      </c>
      <c r="M75" s="17"/>
      <c r="N75" s="129"/>
    </row>
    <row r="76" spans="1:14" ht="14.25">
      <c r="A76" t="s">
        <v>665</v>
      </c>
      <c r="B76" s="196">
        <v>5</v>
      </c>
      <c r="C76" s="196">
        <v>6</v>
      </c>
      <c r="D76" s="85">
        <v>4</v>
      </c>
      <c r="E76" s="271">
        <v>279676</v>
      </c>
      <c r="F76" s="14" t="s">
        <v>702</v>
      </c>
      <c r="G76" s="15" t="s">
        <v>642</v>
      </c>
      <c r="H76" s="16">
        <v>10</v>
      </c>
      <c r="I76" s="17">
        <f>(60275*1.16)</f>
        <v>69919</v>
      </c>
      <c r="J76" s="17"/>
      <c r="K76" s="17"/>
      <c r="L76" s="419">
        <f t="shared" si="2"/>
        <v>699190</v>
      </c>
      <c r="M76" s="17"/>
      <c r="N76" s="129"/>
    </row>
    <row r="77" spans="1:14" ht="14.25">
      <c r="A77" t="s">
        <v>555</v>
      </c>
      <c r="B77" s="196">
        <v>1</v>
      </c>
      <c r="C77" s="196">
        <v>2</v>
      </c>
      <c r="D77" s="207">
        <v>0</v>
      </c>
      <c r="E77" s="154">
        <v>0</v>
      </c>
      <c r="F77" s="33" t="s">
        <v>135</v>
      </c>
      <c r="G77" s="37"/>
      <c r="H77" s="127">
        <f>36*0</f>
        <v>0</v>
      </c>
      <c r="I77" s="36">
        <f>(8000*1.16)</f>
        <v>9280</v>
      </c>
      <c r="J77" s="36">
        <f>(8000*1.16)</f>
        <v>9280</v>
      </c>
      <c r="K77" s="39"/>
      <c r="L77" s="419">
        <f t="shared" si="2"/>
        <v>0</v>
      </c>
      <c r="M77" s="17"/>
      <c r="N77" s="129"/>
    </row>
    <row r="78" spans="1:19" ht="15" thickBot="1">
      <c r="A78" t="s">
        <v>1373</v>
      </c>
      <c r="B78" s="196">
        <v>4</v>
      </c>
      <c r="C78" s="196">
        <v>5</v>
      </c>
      <c r="D78" s="85">
        <v>10</v>
      </c>
      <c r="E78" s="748">
        <v>1145000</v>
      </c>
      <c r="F78" s="14" t="s">
        <v>754</v>
      </c>
      <c r="G78" s="15" t="s">
        <v>642</v>
      </c>
      <c r="H78" s="16">
        <v>40</v>
      </c>
      <c r="I78" s="17">
        <f>42000+72500+30000</f>
        <v>144500</v>
      </c>
      <c r="J78" s="17"/>
      <c r="K78" s="17"/>
      <c r="L78" s="419">
        <f t="shared" si="2"/>
        <v>5780000</v>
      </c>
      <c r="M78" s="17"/>
      <c r="N78" s="129"/>
      <c r="Q78" s="505">
        <v>2</v>
      </c>
      <c r="R78" s="505">
        <v>1200</v>
      </c>
      <c r="S78" s="505">
        <f>+Q78*R78</f>
        <v>2400</v>
      </c>
    </row>
    <row r="79" spans="2:15" ht="14.25">
      <c r="B79" s="196"/>
      <c r="C79" s="196"/>
      <c r="D79" s="85"/>
      <c r="E79" s="271">
        <v>3976741.75</v>
      </c>
      <c r="F79" s="14" t="s">
        <v>424</v>
      </c>
      <c r="G79" s="15"/>
      <c r="H79" s="16"/>
      <c r="I79" s="17"/>
      <c r="J79" s="17"/>
      <c r="K79" s="17"/>
      <c r="L79" s="419">
        <f>6000000-1732157.56</f>
        <v>4267842.4399999995</v>
      </c>
      <c r="M79" s="17"/>
      <c r="N79" s="129"/>
      <c r="O79" s="286">
        <f>O59-L59</f>
        <v>0</v>
      </c>
    </row>
    <row r="80" spans="2:14" ht="14.25">
      <c r="B80" s="196"/>
      <c r="C80" s="196"/>
      <c r="D80" s="85"/>
      <c r="E80" s="271">
        <v>21839999.998</v>
      </c>
      <c r="F80" s="14" t="s">
        <v>703</v>
      </c>
      <c r="G80" s="15"/>
      <c r="H80" s="16"/>
      <c r="I80" s="17"/>
      <c r="J80" s="17"/>
      <c r="K80" s="17"/>
      <c r="L80" s="419">
        <f>SUM(L60:L79)</f>
        <v>280000000</v>
      </c>
      <c r="M80" s="17"/>
      <c r="N80" s="129"/>
    </row>
    <row r="81" spans="2:14" ht="14.25">
      <c r="B81" s="196"/>
      <c r="C81" s="196"/>
      <c r="D81" s="85"/>
      <c r="E81" s="271"/>
      <c r="F81" s="14"/>
      <c r="G81" s="15"/>
      <c r="H81" s="16"/>
      <c r="I81" s="17" t="s">
        <v>1368</v>
      </c>
      <c r="J81" s="17"/>
      <c r="K81" s="17"/>
      <c r="L81" s="419"/>
      <c r="M81" s="17"/>
      <c r="N81" s="129"/>
    </row>
    <row r="82" spans="2:15" ht="16.5">
      <c r="B82" s="196"/>
      <c r="C82" s="196"/>
      <c r="D82" s="198"/>
      <c r="E82" s="272">
        <v>18125000</v>
      </c>
      <c r="F82" s="102" t="s">
        <v>704</v>
      </c>
      <c r="G82" s="10"/>
      <c r="H82" s="11"/>
      <c r="I82" s="12" t="s">
        <v>1368</v>
      </c>
      <c r="J82" s="12"/>
      <c r="K82" s="12"/>
      <c r="L82" s="420">
        <f>L123</f>
        <v>300000000.00000006</v>
      </c>
      <c r="M82" s="105"/>
      <c r="N82" s="316"/>
      <c r="O82">
        <v>300000000</v>
      </c>
    </row>
    <row r="83" spans="1:15" ht="14.25">
      <c r="A83" t="s">
        <v>1374</v>
      </c>
      <c r="B83" s="196">
        <v>5</v>
      </c>
      <c r="C83" s="196">
        <v>6</v>
      </c>
      <c r="D83" s="85">
        <v>4</v>
      </c>
      <c r="E83" s="271">
        <v>635680</v>
      </c>
      <c r="F83" s="14" t="s">
        <v>457</v>
      </c>
      <c r="G83" s="15" t="s">
        <v>642</v>
      </c>
      <c r="H83" s="16">
        <v>1</v>
      </c>
      <c r="I83" s="17">
        <v>4396158.68</v>
      </c>
      <c r="J83" s="17"/>
      <c r="K83" s="17"/>
      <c r="L83" s="419">
        <f aca="true" t="shared" si="3" ref="L83:L88">H83*I83</f>
        <v>4396158.68</v>
      </c>
      <c r="M83" s="17"/>
      <c r="N83" s="129"/>
      <c r="O83" s="286">
        <f>O82-L82</f>
        <v>0</v>
      </c>
    </row>
    <row r="84" spans="1:14" ht="14.25">
      <c r="A84" t="s">
        <v>1374</v>
      </c>
      <c r="B84" s="196">
        <v>5</v>
      </c>
      <c r="C84" s="196">
        <v>6</v>
      </c>
      <c r="D84" s="85">
        <v>5</v>
      </c>
      <c r="E84" s="271">
        <v>1288249.6</v>
      </c>
      <c r="F84" s="14" t="s">
        <v>592</v>
      </c>
      <c r="G84" s="15" t="s">
        <v>642</v>
      </c>
      <c r="H84" s="16">
        <v>5</v>
      </c>
      <c r="I84" s="530">
        <v>416000</v>
      </c>
      <c r="J84" s="17"/>
      <c r="K84" s="17"/>
      <c r="L84" s="419">
        <f t="shared" si="3"/>
        <v>2080000</v>
      </c>
      <c r="M84" s="17"/>
      <c r="N84" s="129"/>
    </row>
    <row r="85" spans="1:14" ht="14.25">
      <c r="A85" t="s">
        <v>1374</v>
      </c>
      <c r="B85" s="196">
        <v>4</v>
      </c>
      <c r="C85" s="196">
        <v>6</v>
      </c>
      <c r="D85" s="85">
        <v>6</v>
      </c>
      <c r="E85" s="271">
        <v>1266720</v>
      </c>
      <c r="F85" s="112" t="s">
        <v>370</v>
      </c>
      <c r="G85" s="15"/>
      <c r="H85" s="16">
        <v>25</v>
      </c>
      <c r="I85" s="17">
        <f>182000*1.16</f>
        <v>211120</v>
      </c>
      <c r="J85" s="17"/>
      <c r="K85" s="17"/>
      <c r="L85" s="419">
        <f t="shared" si="3"/>
        <v>5278000</v>
      </c>
      <c r="M85" s="17"/>
      <c r="N85" s="129"/>
    </row>
    <row r="86" spans="1:14" ht="14.25">
      <c r="A86" t="s">
        <v>1375</v>
      </c>
      <c r="B86" s="196">
        <v>4</v>
      </c>
      <c r="C86" s="196">
        <v>6</v>
      </c>
      <c r="D86" s="85">
        <v>20</v>
      </c>
      <c r="E86" s="271">
        <v>431160.4</v>
      </c>
      <c r="F86" s="14" t="s">
        <v>601</v>
      </c>
      <c r="G86" s="15" t="s">
        <v>642</v>
      </c>
      <c r="H86" s="16">
        <v>14</v>
      </c>
      <c r="I86" s="528">
        <v>58000</v>
      </c>
      <c r="J86" s="17"/>
      <c r="K86" s="17"/>
      <c r="L86" s="419">
        <f t="shared" si="3"/>
        <v>812000</v>
      </c>
      <c r="M86" s="17"/>
      <c r="N86" s="129"/>
    </row>
    <row r="87" spans="1:14" ht="14.25">
      <c r="A87" t="s">
        <v>1224</v>
      </c>
      <c r="B87" s="196">
        <v>4</v>
      </c>
      <c r="C87" s="196">
        <v>6</v>
      </c>
      <c r="D87" s="85">
        <v>4</v>
      </c>
      <c r="E87" s="271">
        <v>1146599.68</v>
      </c>
      <c r="F87" s="14" t="s">
        <v>705</v>
      </c>
      <c r="G87" s="15" t="s">
        <v>642</v>
      </c>
      <c r="H87" s="16">
        <v>5</v>
      </c>
      <c r="I87" s="17">
        <f>(260000+434224)/2*1.16</f>
        <v>402649.92</v>
      </c>
      <c r="J87" s="17"/>
      <c r="K87" s="17"/>
      <c r="L87" s="419">
        <f t="shared" si="3"/>
        <v>2013249.5999999999</v>
      </c>
      <c r="M87" s="17"/>
      <c r="N87" s="129"/>
    </row>
    <row r="88" spans="1:14" ht="14.25">
      <c r="A88" t="s">
        <v>1224</v>
      </c>
      <c r="B88" s="196">
        <v>4</v>
      </c>
      <c r="C88" s="196">
        <v>5</v>
      </c>
      <c r="D88" s="85"/>
      <c r="E88" s="271"/>
      <c r="F88" s="14" t="s">
        <v>1552</v>
      </c>
      <c r="G88" s="15"/>
      <c r="H88" s="16">
        <v>2</v>
      </c>
      <c r="I88" s="17">
        <f>436200*1.16</f>
        <v>505991.99999999994</v>
      </c>
      <c r="J88" s="17"/>
      <c r="K88" s="17"/>
      <c r="L88" s="419">
        <f t="shared" si="3"/>
        <v>1011983.9999999999</v>
      </c>
      <c r="M88" s="17"/>
      <c r="N88" s="129"/>
    </row>
    <row r="89" spans="1:14" ht="14.25">
      <c r="A89" t="s">
        <v>1376</v>
      </c>
      <c r="B89" s="196">
        <v>4</v>
      </c>
      <c r="C89" s="196">
        <v>7</v>
      </c>
      <c r="D89" s="85">
        <v>1</v>
      </c>
      <c r="E89" s="271">
        <v>103500</v>
      </c>
      <c r="F89" s="14" t="s">
        <v>224</v>
      </c>
      <c r="G89" s="15" t="s">
        <v>649</v>
      </c>
      <c r="H89" s="16">
        <v>1</v>
      </c>
      <c r="I89" s="17">
        <f>104400-900</f>
        <v>103500</v>
      </c>
      <c r="J89" s="17"/>
      <c r="K89" s="17"/>
      <c r="L89" s="419">
        <f>(H89*I89)</f>
        <v>103500</v>
      </c>
      <c r="M89" s="17"/>
      <c r="N89" s="129"/>
    </row>
    <row r="90" spans="1:14" ht="14.25">
      <c r="A90" t="s">
        <v>1376</v>
      </c>
      <c r="B90" s="196">
        <v>4</v>
      </c>
      <c r="C90" s="196">
        <v>7</v>
      </c>
      <c r="D90" s="85">
        <v>2</v>
      </c>
      <c r="E90" s="271">
        <v>26000</v>
      </c>
      <c r="F90" s="14" t="s">
        <v>226</v>
      </c>
      <c r="G90" s="15"/>
      <c r="H90" s="16">
        <v>5</v>
      </c>
      <c r="I90" s="17">
        <v>23000</v>
      </c>
      <c r="J90" s="17"/>
      <c r="K90" s="17"/>
      <c r="L90" s="419">
        <f>(H90*I90)</f>
        <v>115000</v>
      </c>
      <c r="M90" s="17"/>
      <c r="N90" s="129"/>
    </row>
    <row r="91" spans="1:14" ht="14.25">
      <c r="A91" t="s">
        <v>1376</v>
      </c>
      <c r="B91" s="196">
        <v>4</v>
      </c>
      <c r="C91" s="196">
        <v>7</v>
      </c>
      <c r="D91" s="85">
        <v>1</v>
      </c>
      <c r="E91" s="271">
        <v>113280</v>
      </c>
      <c r="F91" s="14" t="s">
        <v>225</v>
      </c>
      <c r="G91" s="15" t="s">
        <v>649</v>
      </c>
      <c r="H91" s="16">
        <v>10</v>
      </c>
      <c r="I91" s="17">
        <f>113280+330.3</f>
        <v>113610.3</v>
      </c>
      <c r="J91" s="17"/>
      <c r="K91" s="17"/>
      <c r="L91" s="419">
        <f>(H91*I91)</f>
        <v>1136103</v>
      </c>
      <c r="M91" s="17"/>
      <c r="N91" s="129"/>
    </row>
    <row r="92" spans="1:14" ht="14.25">
      <c r="A92" t="s">
        <v>1377</v>
      </c>
      <c r="B92" s="196">
        <v>4</v>
      </c>
      <c r="C92" s="196">
        <v>7</v>
      </c>
      <c r="D92" s="85">
        <v>5</v>
      </c>
      <c r="E92" s="271">
        <v>501700</v>
      </c>
      <c r="F92" s="14" t="s">
        <v>706</v>
      </c>
      <c r="G92" s="15" t="s">
        <v>642</v>
      </c>
      <c r="H92" s="16">
        <v>50</v>
      </c>
      <c r="I92" s="17">
        <f>(501700/5)</f>
        <v>100340</v>
      </c>
      <c r="J92" s="17"/>
      <c r="K92" s="17"/>
      <c r="L92" s="419">
        <f>H92*I92</f>
        <v>5017000</v>
      </c>
      <c r="M92" s="17"/>
      <c r="N92" s="129"/>
    </row>
    <row r="93" spans="1:14" ht="14.25">
      <c r="A93" t="s">
        <v>597</v>
      </c>
      <c r="B93" s="196">
        <v>4</v>
      </c>
      <c r="C93" s="196">
        <v>8</v>
      </c>
      <c r="D93" s="85">
        <v>9</v>
      </c>
      <c r="E93" s="271">
        <v>55000</v>
      </c>
      <c r="F93" s="14" t="s">
        <v>596</v>
      </c>
      <c r="G93" s="15" t="s">
        <v>642</v>
      </c>
      <c r="H93" s="16">
        <v>14</v>
      </c>
      <c r="I93" s="17">
        <f>(55000+35000)/2*1.116</f>
        <v>50220.00000000001</v>
      </c>
      <c r="J93" s="17"/>
      <c r="K93" s="17"/>
      <c r="L93" s="419">
        <v>55000</v>
      </c>
      <c r="M93" s="17"/>
      <c r="N93" s="129"/>
    </row>
    <row r="94" spans="1:14" ht="14.25">
      <c r="A94" t="s">
        <v>597</v>
      </c>
      <c r="B94" s="196"/>
      <c r="C94" s="196"/>
      <c r="D94" s="85"/>
      <c r="E94" s="271"/>
      <c r="F94" s="14" t="s">
        <v>598</v>
      </c>
      <c r="G94" s="15" t="s">
        <v>642</v>
      </c>
      <c r="H94" s="16">
        <v>21</v>
      </c>
      <c r="I94" s="531">
        <v>55600</v>
      </c>
      <c r="J94" s="17"/>
      <c r="K94" s="17"/>
      <c r="L94" s="419">
        <v>55000</v>
      </c>
      <c r="M94" s="17"/>
      <c r="N94" s="129"/>
    </row>
    <row r="95" spans="1:14" ht="14.25">
      <c r="A95" t="s">
        <v>1225</v>
      </c>
      <c r="B95" s="196">
        <v>4</v>
      </c>
      <c r="C95" s="196">
        <v>6</v>
      </c>
      <c r="D95" s="85">
        <v>1</v>
      </c>
      <c r="E95" s="271">
        <v>300000</v>
      </c>
      <c r="F95" s="14" t="s">
        <v>1551</v>
      </c>
      <c r="G95" s="15" t="s">
        <v>642</v>
      </c>
      <c r="H95" s="16">
        <v>5</v>
      </c>
      <c r="I95" s="17">
        <f>617980*1.16</f>
        <v>716856.7999999999</v>
      </c>
      <c r="J95" s="17"/>
      <c r="K95" s="17"/>
      <c r="L95" s="419">
        <f aca="true" t="shared" si="4" ref="L95:L101">H95*I95</f>
        <v>3584283.9999999995</v>
      </c>
      <c r="M95" s="17"/>
      <c r="N95" s="129"/>
    </row>
    <row r="96" spans="1:14" ht="14.25">
      <c r="A96" t="s">
        <v>1225</v>
      </c>
      <c r="B96" s="196">
        <v>4</v>
      </c>
      <c r="C96" s="196">
        <v>5</v>
      </c>
      <c r="D96" s="85">
        <v>2</v>
      </c>
      <c r="E96" s="271">
        <v>493999.92</v>
      </c>
      <c r="F96" s="14" t="s">
        <v>591</v>
      </c>
      <c r="G96" s="15" t="s">
        <v>642</v>
      </c>
      <c r="H96" s="16">
        <v>4</v>
      </c>
      <c r="I96" s="529">
        <v>700000</v>
      </c>
      <c r="J96" s="17"/>
      <c r="K96" s="17"/>
      <c r="L96" s="419">
        <f t="shared" si="4"/>
        <v>2800000</v>
      </c>
      <c r="M96" s="17"/>
      <c r="N96" s="129"/>
    </row>
    <row r="97" spans="1:14" ht="14.25">
      <c r="A97" t="s">
        <v>1225</v>
      </c>
      <c r="B97" s="196">
        <v>4</v>
      </c>
      <c r="C97" s="196">
        <v>5</v>
      </c>
      <c r="D97" s="85">
        <v>4</v>
      </c>
      <c r="E97" s="271">
        <v>686024</v>
      </c>
      <c r="F97" s="112" t="s">
        <v>422</v>
      </c>
      <c r="G97" s="15"/>
      <c r="H97" s="16">
        <v>10</v>
      </c>
      <c r="I97" s="17">
        <f>147850*1.16</f>
        <v>171506</v>
      </c>
      <c r="J97" s="17"/>
      <c r="K97" s="17"/>
      <c r="L97" s="419">
        <f t="shared" si="4"/>
        <v>1715060</v>
      </c>
      <c r="M97" s="17"/>
      <c r="N97" s="129"/>
    </row>
    <row r="98" spans="1:14" ht="14.25">
      <c r="A98" t="s">
        <v>1226</v>
      </c>
      <c r="B98" s="196">
        <v>4</v>
      </c>
      <c r="C98" s="196">
        <v>6</v>
      </c>
      <c r="D98" s="85">
        <v>2</v>
      </c>
      <c r="E98" s="271">
        <v>720000</v>
      </c>
      <c r="F98" s="742" t="s">
        <v>595</v>
      </c>
      <c r="G98" s="15" t="s">
        <v>642</v>
      </c>
      <c r="H98" s="16">
        <v>2</v>
      </c>
      <c r="I98" s="17">
        <v>360000</v>
      </c>
      <c r="J98" s="17"/>
      <c r="K98" s="17"/>
      <c r="L98" s="419">
        <f t="shared" si="4"/>
        <v>720000</v>
      </c>
      <c r="M98" s="17"/>
      <c r="N98" s="129"/>
    </row>
    <row r="99" spans="1:14" ht="14.25">
      <c r="A99" t="s">
        <v>1226</v>
      </c>
      <c r="B99" s="196"/>
      <c r="C99" s="196"/>
      <c r="D99" s="85"/>
      <c r="E99" s="271"/>
      <c r="F99" s="597" t="s">
        <v>1204</v>
      </c>
      <c r="G99" s="15" t="s">
        <v>642</v>
      </c>
      <c r="H99" s="16">
        <v>1</v>
      </c>
      <c r="I99" s="746">
        <f>1200000*1.16</f>
        <v>1392000</v>
      </c>
      <c r="J99" s="17"/>
      <c r="K99" s="17"/>
      <c r="L99" s="419">
        <f t="shared" si="4"/>
        <v>1392000</v>
      </c>
      <c r="M99" s="17"/>
      <c r="N99" s="129"/>
    </row>
    <row r="100" spans="1:14" ht="14.25">
      <c r="A100" t="s">
        <v>1226</v>
      </c>
      <c r="B100" s="196">
        <v>4</v>
      </c>
      <c r="C100" s="196">
        <v>6</v>
      </c>
      <c r="D100" s="85">
        <v>5</v>
      </c>
      <c r="E100" s="271">
        <v>698299.7</v>
      </c>
      <c r="F100" s="14" t="s">
        <v>594</v>
      </c>
      <c r="G100" s="15" t="s">
        <v>642</v>
      </c>
      <c r="H100" s="16">
        <v>6</v>
      </c>
      <c r="I100" s="492">
        <v>276000</v>
      </c>
      <c r="J100" s="17"/>
      <c r="K100" s="17"/>
      <c r="L100" s="419">
        <f t="shared" si="4"/>
        <v>1656000</v>
      </c>
      <c r="M100" s="17"/>
      <c r="N100" s="129"/>
    </row>
    <row r="101" spans="1:14" ht="14.25">
      <c r="A101" t="s">
        <v>1226</v>
      </c>
      <c r="B101" s="196">
        <v>4</v>
      </c>
      <c r="C101" s="196">
        <v>6</v>
      </c>
      <c r="D101" s="85">
        <v>4</v>
      </c>
      <c r="E101" s="271">
        <v>187084.8</v>
      </c>
      <c r="F101" s="14" t="s">
        <v>709</v>
      </c>
      <c r="G101" s="15" t="s">
        <v>642</v>
      </c>
      <c r="H101" s="16">
        <v>15</v>
      </c>
      <c r="I101" s="17">
        <v>46771.2</v>
      </c>
      <c r="J101" s="17"/>
      <c r="K101" s="17"/>
      <c r="L101" s="419">
        <f t="shared" si="4"/>
        <v>701568</v>
      </c>
      <c r="M101" s="17"/>
      <c r="N101" s="129"/>
    </row>
    <row r="102" spans="1:15" ht="14.25">
      <c r="A102" s="294" t="s">
        <v>1460</v>
      </c>
      <c r="B102" s="196">
        <v>4</v>
      </c>
      <c r="C102" s="196">
        <v>5</v>
      </c>
      <c r="D102" s="85"/>
      <c r="E102" s="271"/>
      <c r="F102" s="14" t="s">
        <v>1608</v>
      </c>
      <c r="G102" s="15"/>
      <c r="H102" s="295">
        <v>5000</v>
      </c>
      <c r="I102" s="292">
        <v>15000</v>
      </c>
      <c r="J102" s="17"/>
      <c r="K102" s="17"/>
      <c r="L102" s="419">
        <f>I102*H102</f>
        <v>75000000</v>
      </c>
      <c r="M102" s="17"/>
      <c r="N102" s="129">
        <v>2686178</v>
      </c>
      <c r="O102">
        <v>2465</v>
      </c>
    </row>
    <row r="103" spans="1:14" ht="14.25">
      <c r="A103" s="294" t="s">
        <v>248</v>
      </c>
      <c r="B103" s="196"/>
      <c r="C103" s="196"/>
      <c r="D103" s="85"/>
      <c r="E103" s="271"/>
      <c r="F103" s="526" t="s">
        <v>109</v>
      </c>
      <c r="G103" s="15" t="s">
        <v>649</v>
      </c>
      <c r="H103" s="16">
        <v>3</v>
      </c>
      <c r="I103" s="17">
        <v>504600</v>
      </c>
      <c r="J103" s="17"/>
      <c r="K103" s="17"/>
      <c r="L103" s="419">
        <f>I103*H103</f>
        <v>1513800</v>
      </c>
      <c r="M103" s="17"/>
      <c r="N103" s="129">
        <f>1513800/3</f>
        <v>504600</v>
      </c>
    </row>
    <row r="104" spans="1:14" ht="14.25">
      <c r="A104" s="294" t="s">
        <v>248</v>
      </c>
      <c r="B104" s="196">
        <v>4</v>
      </c>
      <c r="C104" s="196">
        <v>6</v>
      </c>
      <c r="D104" s="85">
        <v>3</v>
      </c>
      <c r="E104" s="271">
        <v>102312</v>
      </c>
      <c r="F104" s="83" t="s">
        <v>710</v>
      </c>
      <c r="G104" s="15" t="s">
        <v>649</v>
      </c>
      <c r="H104" s="16">
        <v>5</v>
      </c>
      <c r="I104" s="17">
        <v>34104</v>
      </c>
      <c r="J104" s="17"/>
      <c r="K104" s="17"/>
      <c r="L104" s="419">
        <f>I104*H104</f>
        <v>170520</v>
      </c>
      <c r="M104" s="17"/>
      <c r="N104" s="129"/>
    </row>
    <row r="105" spans="1:14" ht="14.25">
      <c r="A105" t="s">
        <v>860</v>
      </c>
      <c r="B105" s="196">
        <v>4</v>
      </c>
      <c r="C105" s="196">
        <v>6</v>
      </c>
      <c r="D105" s="85">
        <v>30</v>
      </c>
      <c r="E105" s="271">
        <v>516755.64</v>
      </c>
      <c r="F105" s="14" t="s">
        <v>859</v>
      </c>
      <c r="G105" s="15" t="s">
        <v>642</v>
      </c>
      <c r="H105" s="16">
        <v>50</v>
      </c>
      <c r="I105" s="17">
        <f>44166*1.16</f>
        <v>51232.56</v>
      </c>
      <c r="J105" s="17"/>
      <c r="K105" s="17"/>
      <c r="L105" s="419">
        <f aca="true" t="shared" si="5" ref="L105:L113">H105*I105</f>
        <v>2561628</v>
      </c>
      <c r="M105" s="17"/>
      <c r="N105" s="129"/>
    </row>
    <row r="106" spans="1:14" ht="14.25">
      <c r="A106" t="s">
        <v>861</v>
      </c>
      <c r="B106" s="196">
        <v>4</v>
      </c>
      <c r="C106" s="196">
        <v>8</v>
      </c>
      <c r="D106" s="85">
        <v>1</v>
      </c>
      <c r="E106" s="271">
        <v>95700</v>
      </c>
      <c r="F106" s="181" t="s">
        <v>862</v>
      </c>
      <c r="G106" s="15"/>
      <c r="H106" s="16">
        <v>4</v>
      </c>
      <c r="I106" s="17">
        <v>110000</v>
      </c>
      <c r="J106" s="17"/>
      <c r="K106" s="17"/>
      <c r="L106" s="419">
        <f t="shared" si="5"/>
        <v>440000</v>
      </c>
      <c r="M106" s="17"/>
      <c r="N106" s="129"/>
    </row>
    <row r="107" spans="1:14" ht="14.25">
      <c r="A107" t="s">
        <v>863</v>
      </c>
      <c r="B107" s="196">
        <v>4</v>
      </c>
      <c r="C107" s="196">
        <v>6</v>
      </c>
      <c r="D107" s="85">
        <v>12</v>
      </c>
      <c r="E107" s="271">
        <v>400896</v>
      </c>
      <c r="F107" s="14" t="s">
        <v>602</v>
      </c>
      <c r="G107" s="15" t="s">
        <v>642</v>
      </c>
      <c r="H107" s="16">
        <v>5</v>
      </c>
      <c r="I107" s="17">
        <v>70000</v>
      </c>
      <c r="J107" s="17"/>
      <c r="K107" s="17"/>
      <c r="L107" s="419">
        <f t="shared" si="5"/>
        <v>350000</v>
      </c>
      <c r="M107" s="17"/>
      <c r="N107" s="129"/>
    </row>
    <row r="108" spans="1:14" ht="14.25">
      <c r="A108" t="s">
        <v>1227</v>
      </c>
      <c r="B108" s="196">
        <v>4</v>
      </c>
      <c r="C108" s="196">
        <v>6</v>
      </c>
      <c r="D108" s="85">
        <v>1</v>
      </c>
      <c r="E108" s="271">
        <v>100907.56</v>
      </c>
      <c r="F108" s="14" t="s">
        <v>1462</v>
      </c>
      <c r="G108" s="15"/>
      <c r="H108" s="16">
        <v>1</v>
      </c>
      <c r="I108" s="17">
        <v>1100907.56</v>
      </c>
      <c r="J108" s="17"/>
      <c r="K108" s="17"/>
      <c r="L108" s="419">
        <f t="shared" si="5"/>
        <v>1100907.56</v>
      </c>
      <c r="M108" s="17"/>
      <c r="N108" s="129"/>
    </row>
    <row r="109" spans="1:14" ht="14.25">
      <c r="A109" t="s">
        <v>600</v>
      </c>
      <c r="B109" s="196"/>
      <c r="C109" s="196"/>
      <c r="D109" s="85"/>
      <c r="E109" s="271"/>
      <c r="F109" s="14" t="s">
        <v>599</v>
      </c>
      <c r="G109" s="15" t="s">
        <v>642</v>
      </c>
      <c r="H109" s="16">
        <v>7</v>
      </c>
      <c r="I109" s="528">
        <v>55000</v>
      </c>
      <c r="J109" s="17"/>
      <c r="K109" s="17"/>
      <c r="L109" s="419">
        <f t="shared" si="5"/>
        <v>385000</v>
      </c>
      <c r="M109" s="17"/>
      <c r="N109" s="129"/>
    </row>
    <row r="110" spans="1:14" ht="14.25">
      <c r="A110" t="s">
        <v>1228</v>
      </c>
      <c r="B110" s="196">
        <v>4</v>
      </c>
      <c r="C110" s="196">
        <v>6</v>
      </c>
      <c r="D110" s="85">
        <v>1</v>
      </c>
      <c r="E110" s="271">
        <v>655600</v>
      </c>
      <c r="F110" s="83" t="s">
        <v>593</v>
      </c>
      <c r="G110" s="15" t="s">
        <v>642</v>
      </c>
      <c r="H110" s="16">
        <v>6</v>
      </c>
      <c r="I110" s="530">
        <v>814640</v>
      </c>
      <c r="J110" s="17"/>
      <c r="K110" s="17"/>
      <c r="L110" s="419">
        <f t="shared" si="5"/>
        <v>4887840</v>
      </c>
      <c r="M110" s="17"/>
      <c r="N110" s="129"/>
    </row>
    <row r="111" spans="1:14" ht="14.25">
      <c r="A111" t="s">
        <v>376</v>
      </c>
      <c r="B111" s="196"/>
      <c r="C111" s="196"/>
      <c r="D111" s="85"/>
      <c r="E111" s="271"/>
      <c r="F111" s="14" t="s">
        <v>588</v>
      </c>
      <c r="G111" s="15" t="s">
        <v>642</v>
      </c>
      <c r="H111" s="16">
        <v>6</v>
      </c>
      <c r="I111" s="17">
        <v>1055000</v>
      </c>
      <c r="J111" s="17"/>
      <c r="K111" s="17"/>
      <c r="L111" s="419">
        <f t="shared" si="5"/>
        <v>6330000</v>
      </c>
      <c r="M111" s="17"/>
      <c r="N111" s="129"/>
    </row>
    <row r="112" spans="1:14" ht="14.25">
      <c r="A112" t="s">
        <v>376</v>
      </c>
      <c r="B112" s="196"/>
      <c r="C112" s="196"/>
      <c r="D112" s="85"/>
      <c r="E112" s="271"/>
      <c r="F112" s="14" t="s">
        <v>589</v>
      </c>
      <c r="G112" s="15" t="s">
        <v>642</v>
      </c>
      <c r="H112" s="16">
        <v>550</v>
      </c>
      <c r="I112" s="492">
        <v>276000</v>
      </c>
      <c r="J112" s="17"/>
      <c r="K112" s="17"/>
      <c r="L112" s="419">
        <f t="shared" si="5"/>
        <v>151800000</v>
      </c>
      <c r="M112" s="17"/>
      <c r="N112" s="129"/>
    </row>
    <row r="113" spans="1:14" ht="14.25">
      <c r="A113" t="s">
        <v>376</v>
      </c>
      <c r="B113" s="196">
        <v>4</v>
      </c>
      <c r="C113" s="196">
        <v>3</v>
      </c>
      <c r="D113" s="85">
        <v>16</v>
      </c>
      <c r="E113" s="271">
        <v>2412800</v>
      </c>
      <c r="F113" s="14" t="s">
        <v>1463</v>
      </c>
      <c r="G113" s="15" t="s">
        <v>642</v>
      </c>
      <c r="H113" s="16">
        <v>10</v>
      </c>
      <c r="I113" s="746">
        <v>150800</v>
      </c>
      <c r="J113" s="17"/>
      <c r="K113" s="17"/>
      <c r="L113" s="419">
        <f t="shared" si="5"/>
        <v>1508000</v>
      </c>
      <c r="M113" s="17"/>
      <c r="N113" s="129"/>
    </row>
    <row r="114" spans="1:14" ht="14.25">
      <c r="A114" t="s">
        <v>376</v>
      </c>
      <c r="B114" s="196"/>
      <c r="C114" s="196"/>
      <c r="D114" s="85"/>
      <c r="E114" s="271"/>
      <c r="F114" s="14" t="s">
        <v>590</v>
      </c>
      <c r="G114" s="15" t="s">
        <v>642</v>
      </c>
      <c r="H114" s="16">
        <v>11</v>
      </c>
      <c r="I114" s="747">
        <v>109200</v>
      </c>
      <c r="J114" s="17"/>
      <c r="K114" s="17"/>
      <c r="L114" s="419">
        <f>I114*H114</f>
        <v>1201200</v>
      </c>
      <c r="M114" s="17"/>
      <c r="N114" s="129"/>
    </row>
    <row r="115" spans="1:14" ht="14.25">
      <c r="A115" t="s">
        <v>1205</v>
      </c>
      <c r="B115" s="196"/>
      <c r="C115" s="196"/>
      <c r="D115" s="85"/>
      <c r="E115" s="271"/>
      <c r="F115" s="14" t="s">
        <v>1206</v>
      </c>
      <c r="G115" s="15" t="s">
        <v>642</v>
      </c>
      <c r="H115" s="16">
        <v>25</v>
      </c>
      <c r="I115" s="17">
        <f>54000*1.16</f>
        <v>62639.99999999999</v>
      </c>
      <c r="J115" s="17"/>
      <c r="K115" s="17"/>
      <c r="L115" s="419">
        <f>H115*I115</f>
        <v>1565999.9999999998</v>
      </c>
      <c r="M115" s="17"/>
      <c r="N115" s="129"/>
    </row>
    <row r="116" spans="1:14" ht="14.25">
      <c r="A116" t="s">
        <v>376</v>
      </c>
      <c r="B116" s="196"/>
      <c r="C116" s="196"/>
      <c r="D116" s="85"/>
      <c r="E116" s="271"/>
      <c r="F116" s="14" t="s">
        <v>708</v>
      </c>
      <c r="G116" s="15" t="s">
        <v>642</v>
      </c>
      <c r="H116" s="16">
        <v>7</v>
      </c>
      <c r="I116" s="17">
        <f>200880+32141</f>
        <v>233021</v>
      </c>
      <c r="J116" s="17"/>
      <c r="K116" s="17"/>
      <c r="L116" s="419">
        <f>I116*H116</f>
        <v>1631147</v>
      </c>
      <c r="M116" s="17"/>
      <c r="N116" s="129"/>
    </row>
    <row r="117" spans="1:14" ht="14.25">
      <c r="A117" t="s">
        <v>376</v>
      </c>
      <c r="B117" s="196">
        <v>4</v>
      </c>
      <c r="C117" s="196">
        <v>6</v>
      </c>
      <c r="D117" s="85">
        <v>5</v>
      </c>
      <c r="E117" s="271">
        <v>1392500</v>
      </c>
      <c r="F117" s="14" t="s">
        <v>707</v>
      </c>
      <c r="G117" s="15" t="s">
        <v>642</v>
      </c>
      <c r="H117" s="16">
        <v>7</v>
      </c>
      <c r="I117" s="17">
        <f>883500+141360</f>
        <v>1024860</v>
      </c>
      <c r="J117" s="17"/>
      <c r="K117" s="17"/>
      <c r="L117" s="419">
        <f>I117*H117</f>
        <v>7174020</v>
      </c>
      <c r="M117" s="17"/>
      <c r="N117" s="129"/>
    </row>
    <row r="118" spans="1:14" ht="14.25">
      <c r="A118" t="s">
        <v>377</v>
      </c>
      <c r="B118" s="196">
        <v>4</v>
      </c>
      <c r="C118" s="196">
        <v>5</v>
      </c>
      <c r="D118" s="85">
        <v>2</v>
      </c>
      <c r="E118" s="271">
        <v>0</v>
      </c>
      <c r="F118" s="14" t="s">
        <v>134</v>
      </c>
      <c r="G118" s="15"/>
      <c r="H118" s="16">
        <v>1</v>
      </c>
      <c r="I118" s="17">
        <v>290000</v>
      </c>
      <c r="J118" s="17"/>
      <c r="K118" s="17"/>
      <c r="L118" s="419">
        <f>H118*I118</f>
        <v>290000</v>
      </c>
      <c r="M118" s="17"/>
      <c r="N118" s="129"/>
    </row>
    <row r="119" spans="1:14" ht="14.25">
      <c r="A119" t="s">
        <v>1270</v>
      </c>
      <c r="B119" s="196">
        <v>4</v>
      </c>
      <c r="C119" s="196">
        <v>6</v>
      </c>
      <c r="D119" s="85">
        <v>2</v>
      </c>
      <c r="E119" s="271">
        <v>348000</v>
      </c>
      <c r="F119" s="14" t="s">
        <v>266</v>
      </c>
      <c r="G119" s="15"/>
      <c r="H119" s="16">
        <v>1</v>
      </c>
      <c r="I119" s="17">
        <f>(1500000*1.16)</f>
        <v>1739999.9999999998</v>
      </c>
      <c r="J119" s="17"/>
      <c r="K119" s="17"/>
      <c r="L119" s="419">
        <f>H119*I119</f>
        <v>1739999.9999999998</v>
      </c>
      <c r="M119" s="17"/>
      <c r="N119" s="129"/>
    </row>
    <row r="120" spans="1:14" ht="14.25">
      <c r="A120" t="s">
        <v>378</v>
      </c>
      <c r="B120" s="196">
        <v>4</v>
      </c>
      <c r="C120" s="196">
        <v>5</v>
      </c>
      <c r="D120" s="85">
        <v>1</v>
      </c>
      <c r="E120" s="271">
        <v>88694.22</v>
      </c>
      <c r="F120" s="83" t="s">
        <v>1417</v>
      </c>
      <c r="G120" s="15"/>
      <c r="H120" s="16">
        <v>2</v>
      </c>
      <c r="I120" s="17">
        <f>82940+5754.22</f>
        <v>88694.22</v>
      </c>
      <c r="J120" s="17"/>
      <c r="K120" s="17"/>
      <c r="L120" s="419">
        <f>H120*I120</f>
        <v>177388.44</v>
      </c>
      <c r="M120" s="17"/>
      <c r="N120" s="129"/>
    </row>
    <row r="121" spans="2:14" ht="14.25">
      <c r="B121" s="196"/>
      <c r="C121" s="196"/>
      <c r="D121" s="85"/>
      <c r="E121" s="271"/>
      <c r="F121" s="14"/>
      <c r="G121" s="15"/>
      <c r="H121" s="16"/>
      <c r="I121" s="746"/>
      <c r="J121" s="17"/>
      <c r="K121" s="17"/>
      <c r="L121" s="419"/>
      <c r="M121" s="17"/>
      <c r="N121" s="129"/>
    </row>
    <row r="122" spans="2:15" ht="14.25">
      <c r="B122" s="196"/>
      <c r="C122" s="196"/>
      <c r="D122" s="85"/>
      <c r="E122" s="271"/>
      <c r="F122" s="14" t="s">
        <v>424</v>
      </c>
      <c r="G122" s="15"/>
      <c r="H122" s="16"/>
      <c r="I122" s="17"/>
      <c r="J122" s="17"/>
      <c r="K122" s="17"/>
      <c r="L122" s="419">
        <v>5530641.72</v>
      </c>
      <c r="M122" s="17"/>
      <c r="N122" s="129"/>
      <c r="O122" t="s">
        <v>1368</v>
      </c>
    </row>
    <row r="123" spans="2:14" ht="14.25">
      <c r="B123" s="196"/>
      <c r="C123" s="196"/>
      <c r="D123" s="85"/>
      <c r="E123" s="271">
        <v>18125000</v>
      </c>
      <c r="F123" s="14" t="s">
        <v>711</v>
      </c>
      <c r="G123" s="15"/>
      <c r="H123" s="16"/>
      <c r="I123" s="17"/>
      <c r="J123" s="17"/>
      <c r="K123" s="17"/>
      <c r="L123" s="419">
        <f>SUM(L83:L122)</f>
        <v>300000000.00000006</v>
      </c>
      <c r="M123" s="17"/>
      <c r="N123" s="129"/>
    </row>
    <row r="124" spans="2:14" ht="14.25">
      <c r="B124" s="196"/>
      <c r="C124" s="196"/>
      <c r="D124" s="85"/>
      <c r="E124" s="271"/>
      <c r="F124" s="14"/>
      <c r="G124" s="15"/>
      <c r="H124" s="16"/>
      <c r="I124" s="17"/>
      <c r="J124" s="17"/>
      <c r="K124" s="17"/>
      <c r="L124" s="419"/>
      <c r="M124" s="17"/>
      <c r="N124" s="129"/>
    </row>
    <row r="125" spans="2:14" ht="16.5">
      <c r="B125" s="196"/>
      <c r="C125" s="196"/>
      <c r="D125" s="198"/>
      <c r="E125" s="272">
        <v>9736999.996666666</v>
      </c>
      <c r="F125" s="102" t="s">
        <v>712</v>
      </c>
      <c r="G125" s="10"/>
      <c r="H125" s="11"/>
      <c r="I125" s="12"/>
      <c r="J125" s="12"/>
      <c r="K125" s="12"/>
      <c r="L125" s="420">
        <f>L145</f>
        <v>124999999.99666667</v>
      </c>
      <c r="M125" s="105"/>
      <c r="N125" s="316"/>
    </row>
    <row r="126" spans="1:14" ht="14.25">
      <c r="A126" t="s">
        <v>379</v>
      </c>
      <c r="B126" s="196">
        <v>5</v>
      </c>
      <c r="C126" s="196">
        <v>6</v>
      </c>
      <c r="D126" s="16">
        <v>1</v>
      </c>
      <c r="E126" s="271">
        <v>243600</v>
      </c>
      <c r="F126" s="14" t="s">
        <v>713</v>
      </c>
      <c r="G126" s="15" t="s">
        <v>642</v>
      </c>
      <c r="H126" s="16">
        <v>1</v>
      </c>
      <c r="I126" s="17">
        <f>(210000*1.16)</f>
        <v>243599.99999999997</v>
      </c>
      <c r="J126" s="17"/>
      <c r="K126" s="17"/>
      <c r="L126" s="419">
        <f aca="true" t="shared" si="6" ref="L126:L143">I126*H126</f>
        <v>243599.99999999997</v>
      </c>
      <c r="M126" s="17"/>
      <c r="N126" s="129"/>
    </row>
    <row r="127" spans="1:14" ht="14.25">
      <c r="A127" t="s">
        <v>379</v>
      </c>
      <c r="B127" s="196">
        <v>5</v>
      </c>
      <c r="C127" s="196">
        <v>6</v>
      </c>
      <c r="D127" s="16">
        <v>1</v>
      </c>
      <c r="E127" s="271">
        <v>40000</v>
      </c>
      <c r="F127" s="14" t="s">
        <v>374</v>
      </c>
      <c r="G127" s="15"/>
      <c r="H127" s="16">
        <v>1</v>
      </c>
      <c r="I127" s="17">
        <v>40000</v>
      </c>
      <c r="J127" s="17"/>
      <c r="K127" s="17"/>
      <c r="L127" s="419">
        <f t="shared" si="6"/>
        <v>40000</v>
      </c>
      <c r="M127" s="17"/>
      <c r="N127" s="129"/>
    </row>
    <row r="128" spans="1:14" ht="14.25">
      <c r="A128" t="s">
        <v>1277</v>
      </c>
      <c r="B128" s="196">
        <v>5</v>
      </c>
      <c r="C128" s="196">
        <v>4</v>
      </c>
      <c r="D128" s="16">
        <v>1</v>
      </c>
      <c r="E128" s="271">
        <v>190153</v>
      </c>
      <c r="F128" s="83" t="s">
        <v>1451</v>
      </c>
      <c r="G128" s="15"/>
      <c r="H128" s="16">
        <v>1</v>
      </c>
      <c r="I128" s="17">
        <v>190153</v>
      </c>
      <c r="J128" s="17"/>
      <c r="K128" s="17"/>
      <c r="L128" s="419">
        <f t="shared" si="6"/>
        <v>190153</v>
      </c>
      <c r="M128" s="17"/>
      <c r="N128" s="129"/>
    </row>
    <row r="129" spans="1:14" ht="14.25">
      <c r="A129" t="s">
        <v>380</v>
      </c>
      <c r="B129" s="196">
        <v>5</v>
      </c>
      <c r="C129" s="196">
        <v>4</v>
      </c>
      <c r="D129" s="16">
        <v>1</v>
      </c>
      <c r="E129" s="271">
        <v>12227200</v>
      </c>
      <c r="F129" s="14" t="s">
        <v>530</v>
      </c>
      <c r="G129" s="15"/>
      <c r="H129" s="16">
        <v>1</v>
      </c>
      <c r="I129" s="17">
        <v>12227200</v>
      </c>
      <c r="J129" s="17"/>
      <c r="K129" s="17"/>
      <c r="L129" s="419">
        <f t="shared" si="6"/>
        <v>12227200</v>
      </c>
      <c r="M129" s="17"/>
      <c r="N129" s="129"/>
    </row>
    <row r="130" spans="1:14" ht="14.25">
      <c r="A130" t="s">
        <v>917</v>
      </c>
      <c r="B130" s="196">
        <v>5</v>
      </c>
      <c r="C130" s="196">
        <v>8</v>
      </c>
      <c r="D130" s="16">
        <v>1</v>
      </c>
      <c r="E130" s="271">
        <v>992000</v>
      </c>
      <c r="F130" s="14" t="s">
        <v>531</v>
      </c>
      <c r="G130" s="15" t="s">
        <v>642</v>
      </c>
      <c r="H130" s="16">
        <v>1</v>
      </c>
      <c r="I130" s="17">
        <v>992000</v>
      </c>
      <c r="J130" s="17"/>
      <c r="K130" s="17"/>
      <c r="L130" s="419">
        <f t="shared" si="6"/>
        <v>992000</v>
      </c>
      <c r="M130" s="17"/>
      <c r="N130" s="129"/>
    </row>
    <row r="131" spans="1:14" ht="14.25">
      <c r="A131" t="s">
        <v>382</v>
      </c>
      <c r="B131" s="196">
        <v>5</v>
      </c>
      <c r="C131" s="196">
        <v>4</v>
      </c>
      <c r="D131" s="16">
        <v>4</v>
      </c>
      <c r="E131" s="271">
        <v>1800000</v>
      </c>
      <c r="F131" s="14" t="s">
        <v>373</v>
      </c>
      <c r="G131" s="15" t="s">
        <v>642</v>
      </c>
      <c r="H131" s="16">
        <v>4</v>
      </c>
      <c r="I131" s="17">
        <v>450000</v>
      </c>
      <c r="J131" s="17"/>
      <c r="K131" s="17"/>
      <c r="L131" s="419">
        <f t="shared" si="6"/>
        <v>1800000</v>
      </c>
      <c r="M131" s="17"/>
      <c r="N131" s="129"/>
    </row>
    <row r="132" spans="1:14" ht="14.25">
      <c r="A132" t="s">
        <v>1459</v>
      </c>
      <c r="B132" s="196">
        <v>5</v>
      </c>
      <c r="C132" s="196">
        <v>4</v>
      </c>
      <c r="D132" s="16">
        <v>1</v>
      </c>
      <c r="E132" s="271">
        <v>850000</v>
      </c>
      <c r="F132" s="14" t="s">
        <v>1553</v>
      </c>
      <c r="G132" s="15"/>
      <c r="H132" s="16">
        <v>5</v>
      </c>
      <c r="I132" s="17">
        <v>850000</v>
      </c>
      <c r="J132" s="17"/>
      <c r="K132" s="17"/>
      <c r="L132" s="419">
        <f t="shared" si="6"/>
        <v>4250000</v>
      </c>
      <c r="M132" s="17"/>
      <c r="N132" s="129"/>
    </row>
    <row r="133" spans="1:14" ht="14.25">
      <c r="A133" t="s">
        <v>381</v>
      </c>
      <c r="B133" s="196">
        <v>5</v>
      </c>
      <c r="C133" s="196">
        <v>4</v>
      </c>
      <c r="D133" s="16">
        <v>1</v>
      </c>
      <c r="E133" s="271">
        <v>500000</v>
      </c>
      <c r="F133" s="14" t="s">
        <v>532</v>
      </c>
      <c r="G133" s="15"/>
      <c r="H133" s="16">
        <v>1</v>
      </c>
      <c r="I133" s="17">
        <v>500000</v>
      </c>
      <c r="J133" s="17"/>
      <c r="K133" s="17"/>
      <c r="L133" s="419">
        <f t="shared" si="6"/>
        <v>500000</v>
      </c>
      <c r="M133" s="17"/>
      <c r="N133" s="129" t="s">
        <v>1368</v>
      </c>
    </row>
    <row r="134" spans="2:14" ht="14.25">
      <c r="B134" s="196"/>
      <c r="C134" s="196"/>
      <c r="D134" s="16"/>
      <c r="E134" s="271"/>
      <c r="F134" s="14" t="s">
        <v>70</v>
      </c>
      <c r="G134" s="15" t="s">
        <v>642</v>
      </c>
      <c r="H134" s="16">
        <v>1</v>
      </c>
      <c r="I134" s="17">
        <v>1352000</v>
      </c>
      <c r="J134" s="17"/>
      <c r="K134" s="17"/>
      <c r="L134" s="419">
        <f t="shared" si="6"/>
        <v>1352000</v>
      </c>
      <c r="M134" s="17"/>
      <c r="N134" s="129"/>
    </row>
    <row r="135" spans="1:14" ht="14.25">
      <c r="A135" t="s">
        <v>120</v>
      </c>
      <c r="B135" s="196">
        <v>5</v>
      </c>
      <c r="C135" s="196">
        <v>7</v>
      </c>
      <c r="D135" s="16">
        <v>50</v>
      </c>
      <c r="E135" s="271">
        <v>1251300</v>
      </c>
      <c r="F135" s="83" t="s">
        <v>990</v>
      </c>
      <c r="G135" s="15" t="s">
        <v>642</v>
      </c>
      <c r="H135" s="16">
        <v>50</v>
      </c>
      <c r="I135" s="17">
        <v>25026</v>
      </c>
      <c r="J135" s="17"/>
      <c r="K135" s="17"/>
      <c r="L135" s="419">
        <f t="shared" si="6"/>
        <v>1251300</v>
      </c>
      <c r="M135" s="17"/>
      <c r="N135" s="129"/>
    </row>
    <row r="136" spans="2:14" ht="14.25">
      <c r="B136" s="196"/>
      <c r="C136" s="196"/>
      <c r="D136" s="16"/>
      <c r="E136" s="271"/>
      <c r="F136" s="597" t="s">
        <v>514</v>
      </c>
      <c r="G136" s="15" t="s">
        <v>642</v>
      </c>
      <c r="H136" s="16">
        <v>2</v>
      </c>
      <c r="I136" s="17">
        <v>555640</v>
      </c>
      <c r="J136" s="17"/>
      <c r="K136" s="17"/>
      <c r="L136" s="419">
        <f t="shared" si="6"/>
        <v>1111280</v>
      </c>
      <c r="M136" s="17"/>
      <c r="N136" s="129"/>
    </row>
    <row r="137" spans="1:14" ht="14.25">
      <c r="A137" t="s">
        <v>1271</v>
      </c>
      <c r="B137" s="196">
        <v>5</v>
      </c>
      <c r="C137" s="196">
        <v>4</v>
      </c>
      <c r="D137" s="16">
        <v>2</v>
      </c>
      <c r="E137" s="271">
        <v>100000000</v>
      </c>
      <c r="F137" s="566" t="s">
        <v>867</v>
      </c>
      <c r="G137" s="15"/>
      <c r="H137" s="16">
        <v>1</v>
      </c>
      <c r="I137" s="17">
        <v>50000000</v>
      </c>
      <c r="J137" s="17"/>
      <c r="K137" s="17"/>
      <c r="L137" s="419">
        <f t="shared" si="6"/>
        <v>50000000</v>
      </c>
      <c r="M137" s="17"/>
      <c r="N137" s="129"/>
    </row>
    <row r="138" spans="1:14" ht="14.25">
      <c r="A138" t="s">
        <v>384</v>
      </c>
      <c r="B138" s="196">
        <v>5</v>
      </c>
      <c r="C138" s="196">
        <v>9</v>
      </c>
      <c r="D138" s="16">
        <v>2</v>
      </c>
      <c r="E138" s="271">
        <v>1538999.84</v>
      </c>
      <c r="F138" s="112" t="s">
        <v>369</v>
      </c>
      <c r="G138" s="15" t="s">
        <v>642</v>
      </c>
      <c r="H138" s="16">
        <v>2</v>
      </c>
      <c r="I138" s="17">
        <f>(750000+576724)/2*1.16</f>
        <v>769499.9199999999</v>
      </c>
      <c r="J138" s="17"/>
      <c r="K138" s="17"/>
      <c r="L138" s="419">
        <f t="shared" si="6"/>
        <v>1538999.8399999999</v>
      </c>
      <c r="M138" s="17"/>
      <c r="N138" s="129"/>
    </row>
    <row r="139" spans="1:14" ht="14.25">
      <c r="A139" t="s">
        <v>1520</v>
      </c>
      <c r="B139" s="196"/>
      <c r="C139" s="196"/>
      <c r="D139" s="16"/>
      <c r="E139" s="271"/>
      <c r="F139" s="112" t="s">
        <v>584</v>
      </c>
      <c r="G139" s="15" t="s">
        <v>642</v>
      </c>
      <c r="H139" s="16">
        <v>2</v>
      </c>
      <c r="I139" s="745">
        <f>312500+50000</f>
        <v>362500</v>
      </c>
      <c r="J139" s="17"/>
      <c r="K139" s="17"/>
      <c r="L139" s="419">
        <f t="shared" si="6"/>
        <v>725000</v>
      </c>
      <c r="M139" s="17"/>
      <c r="N139" s="129"/>
    </row>
    <row r="140" spans="1:14" ht="14.25">
      <c r="A140" t="s">
        <v>249</v>
      </c>
      <c r="B140" s="196">
        <v>5</v>
      </c>
      <c r="C140" s="196">
        <v>6</v>
      </c>
      <c r="D140" s="16">
        <v>1</v>
      </c>
      <c r="E140" s="271">
        <v>272600</v>
      </c>
      <c r="F140" s="742" t="s">
        <v>1525</v>
      </c>
      <c r="G140" s="15" t="s">
        <v>642</v>
      </c>
      <c r="H140" s="16">
        <v>1</v>
      </c>
      <c r="I140" s="17">
        <f>235000*1.16</f>
        <v>272600</v>
      </c>
      <c r="J140" s="17"/>
      <c r="K140" s="17"/>
      <c r="L140" s="419">
        <f t="shared" si="6"/>
        <v>272600</v>
      </c>
      <c r="M140" s="17"/>
      <c r="N140" s="129"/>
    </row>
    <row r="141" spans="1:14" ht="14.25">
      <c r="A141" t="s">
        <v>383</v>
      </c>
      <c r="B141" s="196">
        <v>5</v>
      </c>
      <c r="C141" s="196">
        <v>4</v>
      </c>
      <c r="D141" s="16">
        <v>1</v>
      </c>
      <c r="E141" s="271">
        <v>561000</v>
      </c>
      <c r="F141" s="742" t="s">
        <v>533</v>
      </c>
      <c r="G141" s="15"/>
      <c r="H141" s="16">
        <v>1</v>
      </c>
      <c r="I141" s="148">
        <v>561000</v>
      </c>
      <c r="J141" s="17"/>
      <c r="K141" s="17"/>
      <c r="L141" s="419">
        <f t="shared" si="6"/>
        <v>561000</v>
      </c>
      <c r="M141" s="17"/>
      <c r="N141" s="129"/>
    </row>
    <row r="142" spans="1:14" ht="14.25">
      <c r="A142" t="s">
        <v>1520</v>
      </c>
      <c r="B142" s="196"/>
      <c r="C142" s="196"/>
      <c r="D142" s="16"/>
      <c r="E142" s="271"/>
      <c r="F142" s="180" t="s">
        <v>583</v>
      </c>
      <c r="G142" s="15" t="s">
        <v>642</v>
      </c>
      <c r="H142" s="16">
        <v>2</v>
      </c>
      <c r="I142" s="454">
        <f>7660000+1225600</f>
        <v>8885600</v>
      </c>
      <c r="J142" s="17"/>
      <c r="K142" s="17"/>
      <c r="L142" s="419">
        <f t="shared" si="6"/>
        <v>17771200</v>
      </c>
      <c r="M142" s="17"/>
      <c r="N142" s="129"/>
    </row>
    <row r="143" spans="1:14" ht="14.25">
      <c r="A143" t="s">
        <v>385</v>
      </c>
      <c r="B143" s="196">
        <v>5</v>
      </c>
      <c r="C143" s="196">
        <v>8</v>
      </c>
      <c r="D143" s="16">
        <v>4</v>
      </c>
      <c r="E143" s="271">
        <v>1433066.6666666665</v>
      </c>
      <c r="F143" s="597" t="s">
        <v>1471</v>
      </c>
      <c r="G143" s="15" t="s">
        <v>642</v>
      </c>
      <c r="H143" s="16">
        <v>4</v>
      </c>
      <c r="I143" s="17">
        <f>(287912+248182+238706)/3+100000</f>
        <v>358266.6666666666</v>
      </c>
      <c r="J143" s="17"/>
      <c r="K143" s="17"/>
      <c r="L143" s="419">
        <f t="shared" si="6"/>
        <v>1433066.6666666665</v>
      </c>
      <c r="M143" s="17"/>
      <c r="N143" s="129"/>
    </row>
    <row r="144" spans="2:15" ht="14.25">
      <c r="B144" s="196"/>
      <c r="C144" s="196"/>
      <c r="D144" s="85"/>
      <c r="E144" s="271">
        <v>663863.49</v>
      </c>
      <c r="F144" s="180" t="s">
        <v>424</v>
      </c>
      <c r="G144" s="15"/>
      <c r="H144" s="16"/>
      <c r="I144" s="17"/>
      <c r="J144" s="17"/>
      <c r="K144" s="17"/>
      <c r="L144" s="419">
        <f>3100080.49-1352000+28103800-1111280</f>
        <v>28740600.490000002</v>
      </c>
      <c r="M144" s="17"/>
      <c r="N144" s="129">
        <f>125000000-L145</f>
        <v>0.0033333301544189453</v>
      </c>
      <c r="O144" s="286" t="s">
        <v>1368</v>
      </c>
    </row>
    <row r="145" spans="2:14" ht="14.25">
      <c r="B145" s="196"/>
      <c r="C145" s="196"/>
      <c r="D145" s="85"/>
      <c r="E145" s="271">
        <v>9736999.996666666</v>
      </c>
      <c r="F145" s="14" t="s">
        <v>703</v>
      </c>
      <c r="G145" s="15"/>
      <c r="H145" s="16"/>
      <c r="I145" s="17"/>
      <c r="J145" s="17"/>
      <c r="K145" s="17"/>
      <c r="L145" s="419">
        <f>SUM(L126:L144)</f>
        <v>124999999.99666667</v>
      </c>
      <c r="M145" s="17"/>
      <c r="N145" s="129"/>
    </row>
    <row r="146" spans="2:14" ht="14.25">
      <c r="B146" s="196"/>
      <c r="C146" s="196"/>
      <c r="D146" s="85"/>
      <c r="E146" s="271"/>
      <c r="F146" s="14"/>
      <c r="G146" s="15"/>
      <c r="H146" s="16"/>
      <c r="I146" s="17"/>
      <c r="J146" s="17"/>
      <c r="K146" s="17"/>
      <c r="L146" s="419"/>
      <c r="M146" s="17"/>
      <c r="N146" s="129"/>
    </row>
    <row r="147" spans="2:15" ht="16.5">
      <c r="B147" s="196"/>
      <c r="C147" s="196"/>
      <c r="D147" s="198"/>
      <c r="E147" s="272">
        <v>2000000</v>
      </c>
      <c r="F147" s="102" t="s">
        <v>714</v>
      </c>
      <c r="G147" s="10"/>
      <c r="H147" s="11"/>
      <c r="I147" s="12"/>
      <c r="J147" s="12"/>
      <c r="K147" s="12"/>
      <c r="L147" s="420">
        <f>L187</f>
        <v>6999999.996666666</v>
      </c>
      <c r="M147" s="105"/>
      <c r="N147" s="316"/>
      <c r="O147" s="286">
        <f>7000000-L147</f>
        <v>0.0033333338797092438</v>
      </c>
    </row>
    <row r="148" spans="1:14" ht="14.25">
      <c r="A148" t="s">
        <v>807</v>
      </c>
      <c r="B148" s="196"/>
      <c r="C148" s="196"/>
      <c r="D148" s="85"/>
      <c r="E148" s="271"/>
      <c r="F148" s="593" t="s">
        <v>806</v>
      </c>
      <c r="G148" s="296" t="s">
        <v>509</v>
      </c>
      <c r="H148" s="16">
        <v>1</v>
      </c>
      <c r="I148" s="17"/>
      <c r="J148" s="17"/>
      <c r="K148" s="17"/>
      <c r="L148" s="419"/>
      <c r="M148" s="17"/>
      <c r="N148" s="129"/>
    </row>
    <row r="149" spans="1:14" ht="14.25">
      <c r="A149" t="s">
        <v>386</v>
      </c>
      <c r="B149" s="196">
        <v>5</v>
      </c>
      <c r="C149" s="196">
        <v>9</v>
      </c>
      <c r="D149" s="85">
        <v>2</v>
      </c>
      <c r="E149" s="271">
        <v>22040</v>
      </c>
      <c r="F149" s="599" t="s">
        <v>1554</v>
      </c>
      <c r="G149" s="614" t="s">
        <v>642</v>
      </c>
      <c r="H149" s="16">
        <v>5</v>
      </c>
      <c r="I149" s="17">
        <f>69480*1.16</f>
        <v>80596.79999999999</v>
      </c>
      <c r="J149" s="17"/>
      <c r="K149" s="17"/>
      <c r="L149" s="419">
        <f>I149*H149</f>
        <v>402983.99999999994</v>
      </c>
      <c r="M149" s="17"/>
      <c r="N149" s="129"/>
    </row>
    <row r="150" spans="1:14" ht="14.25">
      <c r="A150" t="s">
        <v>387</v>
      </c>
      <c r="B150" s="196">
        <v>5</v>
      </c>
      <c r="C150" s="196">
        <v>9</v>
      </c>
      <c r="D150" s="85">
        <v>1</v>
      </c>
      <c r="E150" s="271">
        <v>200000</v>
      </c>
      <c r="F150" s="83" t="s">
        <v>715</v>
      </c>
      <c r="G150" s="15" t="s">
        <v>642</v>
      </c>
      <c r="H150" s="16">
        <v>5</v>
      </c>
      <c r="I150" s="17">
        <v>200000</v>
      </c>
      <c r="J150" s="17"/>
      <c r="K150" s="17"/>
      <c r="L150" s="419">
        <f>I150*H150</f>
        <v>1000000</v>
      </c>
      <c r="M150" s="17"/>
      <c r="N150" s="129"/>
    </row>
    <row r="151" spans="1:14" ht="14.25">
      <c r="A151" t="s">
        <v>388</v>
      </c>
      <c r="B151" s="196">
        <v>5</v>
      </c>
      <c r="C151" s="196">
        <v>9</v>
      </c>
      <c r="D151" s="85">
        <v>1</v>
      </c>
      <c r="E151" s="271">
        <v>80040</v>
      </c>
      <c r="F151" s="83" t="s">
        <v>1102</v>
      </c>
      <c r="G151" s="15"/>
      <c r="H151" s="16">
        <v>0</v>
      </c>
      <c r="I151" s="17">
        <f>(69000*1.16)</f>
        <v>80040</v>
      </c>
      <c r="J151" s="17"/>
      <c r="K151" s="17"/>
      <c r="L151" s="419">
        <f>I151*H151</f>
        <v>0</v>
      </c>
      <c r="M151" s="17"/>
      <c r="N151" s="129"/>
    </row>
    <row r="152" spans="1:14" ht="14.25">
      <c r="A152" t="s">
        <v>389</v>
      </c>
      <c r="B152" s="196">
        <v>5</v>
      </c>
      <c r="C152" s="196">
        <v>8</v>
      </c>
      <c r="D152" s="85">
        <v>2</v>
      </c>
      <c r="E152" s="271">
        <v>32944</v>
      </c>
      <c r="F152" s="665" t="s">
        <v>1555</v>
      </c>
      <c r="G152" s="614"/>
      <c r="H152" s="622">
        <v>1</v>
      </c>
      <c r="I152" s="17">
        <v>81200.04</v>
      </c>
      <c r="J152" s="17"/>
      <c r="K152" s="17"/>
      <c r="L152" s="419">
        <f>I152*H152</f>
        <v>81200.04</v>
      </c>
      <c r="M152" s="17"/>
      <c r="N152" s="129"/>
    </row>
    <row r="153" spans="1:14" ht="14.25">
      <c r="A153" t="s">
        <v>809</v>
      </c>
      <c r="B153" s="196">
        <v>5</v>
      </c>
      <c r="C153" s="196">
        <v>8</v>
      </c>
      <c r="D153" s="85">
        <v>5</v>
      </c>
      <c r="E153" s="271">
        <v>55100</v>
      </c>
      <c r="F153" s="609" t="s">
        <v>811</v>
      </c>
      <c r="G153" s="296" t="s">
        <v>808</v>
      </c>
      <c r="H153" s="623">
        <v>2</v>
      </c>
      <c r="I153" s="17">
        <f>(9500*1.16)</f>
        <v>11020</v>
      </c>
      <c r="J153" s="17"/>
      <c r="K153" s="17"/>
      <c r="L153" s="419">
        <f>I153*H153</f>
        <v>22040</v>
      </c>
      <c r="M153" s="17"/>
      <c r="N153" s="129"/>
    </row>
    <row r="154" spans="1:14" ht="14.25">
      <c r="A154" t="s">
        <v>809</v>
      </c>
      <c r="B154" s="196"/>
      <c r="C154" s="196"/>
      <c r="D154" s="85"/>
      <c r="E154" s="271"/>
      <c r="F154" s="564" t="s">
        <v>810</v>
      </c>
      <c r="G154" s="533" t="s">
        <v>808</v>
      </c>
      <c r="H154" s="534">
        <v>2</v>
      </c>
      <c r="I154" s="17"/>
      <c r="J154" s="17"/>
      <c r="K154" s="17"/>
      <c r="L154" s="419"/>
      <c r="M154" s="17"/>
      <c r="N154" s="129"/>
    </row>
    <row r="155" spans="1:14" ht="14.25">
      <c r="A155" t="s">
        <v>393</v>
      </c>
      <c r="B155" s="196">
        <v>5</v>
      </c>
      <c r="C155" s="196">
        <v>9</v>
      </c>
      <c r="D155" s="541">
        <v>1</v>
      </c>
      <c r="E155" s="271">
        <v>20000</v>
      </c>
      <c r="F155" s="607" t="s">
        <v>13</v>
      </c>
      <c r="G155" s="614" t="s">
        <v>642</v>
      </c>
      <c r="H155" s="622">
        <v>1</v>
      </c>
      <c r="I155" s="17">
        <f>(200000/10)</f>
        <v>20000</v>
      </c>
      <c r="J155" s="17"/>
      <c r="K155" s="17"/>
      <c r="L155" s="419">
        <f aca="true" t="shared" si="7" ref="L155:L160">I155*H155</f>
        <v>20000</v>
      </c>
      <c r="M155" s="17"/>
      <c r="N155" s="129"/>
    </row>
    <row r="156" spans="1:14" ht="14.25">
      <c r="A156" t="s">
        <v>394</v>
      </c>
      <c r="B156" s="196">
        <v>5</v>
      </c>
      <c r="C156" s="196">
        <v>9</v>
      </c>
      <c r="D156" s="541">
        <v>6</v>
      </c>
      <c r="E156" s="271">
        <v>8420</v>
      </c>
      <c r="F156" s="564" t="s">
        <v>805</v>
      </c>
      <c r="G156" s="533" t="s">
        <v>509</v>
      </c>
      <c r="H156" s="622">
        <v>5</v>
      </c>
      <c r="I156" s="17">
        <f>(2400+2770+3250)/6</f>
        <v>1403.3333333333333</v>
      </c>
      <c r="J156" s="17"/>
      <c r="K156" s="17"/>
      <c r="L156" s="419">
        <f t="shared" si="7"/>
        <v>7016.666666666666</v>
      </c>
      <c r="M156" s="17"/>
      <c r="N156" s="129"/>
    </row>
    <row r="157" spans="1:14" ht="14.25">
      <c r="A157" t="s">
        <v>394</v>
      </c>
      <c r="B157" s="196">
        <v>5</v>
      </c>
      <c r="C157" s="196">
        <v>9</v>
      </c>
      <c r="D157" s="541">
        <v>1</v>
      </c>
      <c r="E157" s="271">
        <v>17000</v>
      </c>
      <c r="F157" s="593" t="s">
        <v>804</v>
      </c>
      <c r="G157" s="296" t="s">
        <v>509</v>
      </c>
      <c r="H157" s="16">
        <v>5</v>
      </c>
      <c r="I157" s="17">
        <f>2500*1.16</f>
        <v>2900</v>
      </c>
      <c r="J157" s="17"/>
      <c r="K157" s="17"/>
      <c r="L157" s="419">
        <f t="shared" si="7"/>
        <v>14500</v>
      </c>
      <c r="M157" s="17"/>
      <c r="N157" s="129"/>
    </row>
    <row r="158" spans="1:14" ht="14.25">
      <c r="A158" t="s">
        <v>394</v>
      </c>
      <c r="B158" s="196">
        <v>5</v>
      </c>
      <c r="C158" s="196">
        <v>9</v>
      </c>
      <c r="D158" s="85">
        <v>3</v>
      </c>
      <c r="E158" s="271">
        <v>31320</v>
      </c>
      <c r="F158" s="593" t="s">
        <v>803</v>
      </c>
      <c r="G158" s="296" t="s">
        <v>509</v>
      </c>
      <c r="H158" s="16">
        <v>5</v>
      </c>
      <c r="I158" s="17">
        <f>3500*1.16</f>
        <v>4059.9999999999995</v>
      </c>
      <c r="J158" s="17"/>
      <c r="K158" s="17"/>
      <c r="L158" s="419">
        <f t="shared" si="7"/>
        <v>20299.999999999996</v>
      </c>
      <c r="M158" s="17"/>
      <c r="N158" s="129"/>
    </row>
    <row r="159" spans="1:14" ht="14.25">
      <c r="A159" t="s">
        <v>394</v>
      </c>
      <c r="B159" s="196">
        <v>5</v>
      </c>
      <c r="C159" s="196">
        <v>7</v>
      </c>
      <c r="D159" s="85">
        <v>2</v>
      </c>
      <c r="E159" s="271">
        <v>12922.4</v>
      </c>
      <c r="F159" s="564" t="s">
        <v>802</v>
      </c>
      <c r="G159" s="533" t="s">
        <v>509</v>
      </c>
      <c r="H159" s="622">
        <v>5</v>
      </c>
      <c r="I159" s="17">
        <f>(7540+3600)/2*1.16</f>
        <v>6461.2</v>
      </c>
      <c r="J159" s="17"/>
      <c r="K159" s="17"/>
      <c r="L159" s="419">
        <f t="shared" si="7"/>
        <v>32306</v>
      </c>
      <c r="M159" s="17"/>
      <c r="N159" s="129"/>
    </row>
    <row r="160" spans="1:14" ht="14.25">
      <c r="A160" t="s">
        <v>390</v>
      </c>
      <c r="B160" s="196">
        <v>5</v>
      </c>
      <c r="C160" s="196">
        <v>8</v>
      </c>
      <c r="D160" s="268">
        <v>11</v>
      </c>
      <c r="E160" s="273">
        <v>63800</v>
      </c>
      <c r="F160" s="567" t="s">
        <v>1184</v>
      </c>
      <c r="G160" s="15"/>
      <c r="H160" s="16">
        <v>2</v>
      </c>
      <c r="I160" s="17">
        <f>39235*1.16</f>
        <v>45512.6</v>
      </c>
      <c r="J160" s="17"/>
      <c r="K160" s="17"/>
      <c r="L160" s="419">
        <f t="shared" si="7"/>
        <v>91025.2</v>
      </c>
      <c r="M160" s="17"/>
      <c r="N160" s="129"/>
    </row>
    <row r="161" spans="1:14" ht="14.25">
      <c r="A161" t="s">
        <v>812</v>
      </c>
      <c r="B161" s="196"/>
      <c r="C161" s="196"/>
      <c r="D161" s="85"/>
      <c r="E161" s="271"/>
      <c r="F161" s="608" t="s">
        <v>813</v>
      </c>
      <c r="G161" s="296" t="s">
        <v>509</v>
      </c>
      <c r="H161" s="623">
        <v>1</v>
      </c>
      <c r="I161" s="17"/>
      <c r="J161" s="17"/>
      <c r="K161" s="17"/>
      <c r="L161" s="419"/>
      <c r="M161" s="17"/>
      <c r="N161" s="129"/>
    </row>
    <row r="162" spans="1:14" ht="14.25">
      <c r="A162" t="s">
        <v>395</v>
      </c>
      <c r="B162" s="196">
        <v>5</v>
      </c>
      <c r="C162" s="196">
        <v>7</v>
      </c>
      <c r="D162" s="85">
        <v>1</v>
      </c>
      <c r="E162" s="271">
        <v>14964</v>
      </c>
      <c r="F162" s="606" t="s">
        <v>633</v>
      </c>
      <c r="G162" s="614"/>
      <c r="H162" s="16">
        <v>1</v>
      </c>
      <c r="I162" s="17">
        <f>(12900*1.16)</f>
        <v>14963.999999999998</v>
      </c>
      <c r="J162" s="17"/>
      <c r="K162" s="17"/>
      <c r="L162" s="419">
        <f aca="true" t="shared" si="8" ref="L162:L173">I162*H162</f>
        <v>14963.999999999998</v>
      </c>
      <c r="M162" s="17"/>
      <c r="N162" s="129"/>
    </row>
    <row r="163" spans="1:14" ht="14.25">
      <c r="A163" t="s">
        <v>395</v>
      </c>
      <c r="B163" s="196">
        <v>5</v>
      </c>
      <c r="C163" s="196">
        <v>7</v>
      </c>
      <c r="D163" s="85">
        <v>1</v>
      </c>
      <c r="E163" s="271">
        <v>12992</v>
      </c>
      <c r="F163" s="665" t="s">
        <v>413</v>
      </c>
      <c r="G163" s="614"/>
      <c r="H163" s="16">
        <v>0</v>
      </c>
      <c r="I163" s="17">
        <f>11200*1.16</f>
        <v>12992</v>
      </c>
      <c r="J163" s="17"/>
      <c r="K163" s="17"/>
      <c r="L163" s="419">
        <f t="shared" si="8"/>
        <v>0</v>
      </c>
      <c r="M163" s="17"/>
      <c r="N163" s="129"/>
    </row>
    <row r="164" spans="1:14" ht="14.25">
      <c r="A164" t="s">
        <v>396</v>
      </c>
      <c r="B164" s="196">
        <v>5</v>
      </c>
      <c r="C164" s="196">
        <v>9</v>
      </c>
      <c r="D164" s="85">
        <v>1</v>
      </c>
      <c r="E164" s="271">
        <v>18000</v>
      </c>
      <c r="F164" s="564" t="s">
        <v>800</v>
      </c>
      <c r="G164" s="533" t="s">
        <v>509</v>
      </c>
      <c r="H164" s="623">
        <v>1</v>
      </c>
      <c r="I164" s="17">
        <v>18000</v>
      </c>
      <c r="J164" s="17"/>
      <c r="K164" s="17"/>
      <c r="L164" s="419">
        <f t="shared" si="8"/>
        <v>18000</v>
      </c>
      <c r="M164" s="17"/>
      <c r="N164" s="129"/>
    </row>
    <row r="165" spans="1:14" ht="14.25">
      <c r="A165" t="s">
        <v>396</v>
      </c>
      <c r="B165" s="196">
        <v>5</v>
      </c>
      <c r="C165" s="196">
        <v>9</v>
      </c>
      <c r="D165" s="85">
        <v>1</v>
      </c>
      <c r="E165" s="271">
        <v>19000</v>
      </c>
      <c r="F165" s="564" t="s">
        <v>801</v>
      </c>
      <c r="G165" s="533" t="s">
        <v>509</v>
      </c>
      <c r="H165" s="623">
        <v>1</v>
      </c>
      <c r="I165" s="17">
        <v>19000</v>
      </c>
      <c r="J165" s="17"/>
      <c r="K165" s="17"/>
      <c r="L165" s="419">
        <f t="shared" si="8"/>
        <v>19000</v>
      </c>
      <c r="M165" s="17"/>
      <c r="N165" s="129"/>
    </row>
    <row r="166" spans="1:14" ht="14.25">
      <c r="A166" t="s">
        <v>396</v>
      </c>
      <c r="B166" s="196">
        <v>5</v>
      </c>
      <c r="C166" s="196">
        <v>9</v>
      </c>
      <c r="D166" s="85">
        <v>1</v>
      </c>
      <c r="E166" s="271">
        <v>21000</v>
      </c>
      <c r="F166" s="567" t="s">
        <v>538</v>
      </c>
      <c r="G166" s="87" t="s">
        <v>1610</v>
      </c>
      <c r="H166" s="16">
        <v>1</v>
      </c>
      <c r="I166" s="17">
        <v>21000</v>
      </c>
      <c r="J166" s="17"/>
      <c r="K166" s="17"/>
      <c r="L166" s="419">
        <f t="shared" si="8"/>
        <v>21000</v>
      </c>
      <c r="M166" s="17"/>
      <c r="N166" s="129"/>
    </row>
    <row r="167" spans="1:14" ht="14.25">
      <c r="A167" t="s">
        <v>396</v>
      </c>
      <c r="B167" s="196">
        <v>5</v>
      </c>
      <c r="C167" s="196">
        <v>9</v>
      </c>
      <c r="D167" s="85">
        <v>1</v>
      </c>
      <c r="E167" s="271">
        <v>16000</v>
      </c>
      <c r="F167" s="744" t="s">
        <v>537</v>
      </c>
      <c r="G167" s="87" t="s">
        <v>1610</v>
      </c>
      <c r="H167" s="16">
        <v>1</v>
      </c>
      <c r="I167" s="17">
        <v>16000</v>
      </c>
      <c r="J167" s="17"/>
      <c r="K167" s="17"/>
      <c r="L167" s="419">
        <f t="shared" si="8"/>
        <v>16000</v>
      </c>
      <c r="M167" s="17"/>
      <c r="N167" s="129"/>
    </row>
    <row r="168" spans="1:14" ht="14.25">
      <c r="A168" t="s">
        <v>396</v>
      </c>
      <c r="B168" s="196">
        <v>5</v>
      </c>
      <c r="C168" s="196">
        <v>9</v>
      </c>
      <c r="D168" s="85">
        <v>1</v>
      </c>
      <c r="E168" s="271">
        <v>26548</v>
      </c>
      <c r="F168" s="606" t="s">
        <v>542</v>
      </c>
      <c r="G168" s="617" t="s">
        <v>1610</v>
      </c>
      <c r="H168" s="622">
        <v>0</v>
      </c>
      <c r="I168" s="17">
        <v>26548</v>
      </c>
      <c r="J168" s="17"/>
      <c r="K168" s="17"/>
      <c r="L168" s="419">
        <f t="shared" si="8"/>
        <v>0</v>
      </c>
      <c r="M168" s="17"/>
      <c r="N168" s="129"/>
    </row>
    <row r="169" spans="1:14" ht="14.25">
      <c r="A169" t="s">
        <v>396</v>
      </c>
      <c r="B169" s="196">
        <v>5</v>
      </c>
      <c r="C169" s="196">
        <v>9</v>
      </c>
      <c r="D169" s="85">
        <v>2</v>
      </c>
      <c r="E169" s="271">
        <v>44000</v>
      </c>
      <c r="F169" s="606" t="s">
        <v>539</v>
      </c>
      <c r="G169" s="617" t="s">
        <v>1610</v>
      </c>
      <c r="H169" s="622">
        <v>0</v>
      </c>
      <c r="I169" s="17">
        <v>22000</v>
      </c>
      <c r="J169" s="17"/>
      <c r="K169" s="17"/>
      <c r="L169" s="419">
        <f t="shared" si="8"/>
        <v>0</v>
      </c>
      <c r="M169" s="17"/>
      <c r="N169" s="129"/>
    </row>
    <row r="170" spans="1:14" ht="14.25">
      <c r="A170" t="s">
        <v>396</v>
      </c>
      <c r="B170" s="196">
        <v>5</v>
      </c>
      <c r="C170" s="196">
        <v>9</v>
      </c>
      <c r="D170" s="85">
        <v>1</v>
      </c>
      <c r="E170" s="271">
        <v>23000</v>
      </c>
      <c r="F170" s="567" t="s">
        <v>540</v>
      </c>
      <c r="G170" s="87" t="s">
        <v>1610</v>
      </c>
      <c r="H170" s="16">
        <v>2</v>
      </c>
      <c r="I170" s="17">
        <v>23000</v>
      </c>
      <c r="J170" s="17"/>
      <c r="K170" s="17"/>
      <c r="L170" s="419">
        <f t="shared" si="8"/>
        <v>46000</v>
      </c>
      <c r="M170" s="17"/>
      <c r="N170" s="129"/>
    </row>
    <row r="171" spans="1:14" ht="14.25">
      <c r="A171" t="s">
        <v>396</v>
      </c>
      <c r="B171" s="196">
        <v>5</v>
      </c>
      <c r="C171" s="196">
        <v>9</v>
      </c>
      <c r="D171" s="85">
        <v>1</v>
      </c>
      <c r="E171" s="271">
        <v>24000</v>
      </c>
      <c r="F171" s="567" t="s">
        <v>541</v>
      </c>
      <c r="G171" s="87" t="s">
        <v>1610</v>
      </c>
      <c r="H171" s="16">
        <v>0</v>
      </c>
      <c r="I171" s="17">
        <v>24000</v>
      </c>
      <c r="J171" s="17"/>
      <c r="K171" s="17"/>
      <c r="L171" s="419">
        <f t="shared" si="8"/>
        <v>0</v>
      </c>
      <c r="M171" s="17"/>
      <c r="N171" s="129"/>
    </row>
    <row r="172" spans="1:14" ht="14.25">
      <c r="A172" t="s">
        <v>897</v>
      </c>
      <c r="B172" s="196">
        <v>5</v>
      </c>
      <c r="C172" s="196">
        <v>9</v>
      </c>
      <c r="D172" s="85">
        <v>2</v>
      </c>
      <c r="E172" s="271">
        <v>27969.92</v>
      </c>
      <c r="F172" s="567" t="s">
        <v>1118</v>
      </c>
      <c r="G172" s="87" t="s">
        <v>1610</v>
      </c>
      <c r="H172" s="16">
        <v>1</v>
      </c>
      <c r="I172" s="17">
        <f>(12056*1.16)</f>
        <v>13984.96</v>
      </c>
      <c r="J172" s="17"/>
      <c r="K172" s="17"/>
      <c r="L172" s="419">
        <f t="shared" si="8"/>
        <v>13984.96</v>
      </c>
      <c r="M172" s="17"/>
      <c r="N172" s="129"/>
    </row>
    <row r="173" spans="1:14" ht="14.25">
      <c r="A173" t="s">
        <v>1278</v>
      </c>
      <c r="B173" s="196">
        <v>5</v>
      </c>
      <c r="C173" s="196">
        <v>9</v>
      </c>
      <c r="D173" s="85">
        <v>1</v>
      </c>
      <c r="E173" s="271">
        <v>11177.76</v>
      </c>
      <c r="F173" s="567" t="s">
        <v>1117</v>
      </c>
      <c r="G173" s="87" t="s">
        <v>1610</v>
      </c>
      <c r="H173" s="16">
        <v>1</v>
      </c>
      <c r="I173" s="17">
        <f>(9636*1.16)</f>
        <v>11177.759999999998</v>
      </c>
      <c r="J173" s="17"/>
      <c r="K173" s="17"/>
      <c r="L173" s="419">
        <f t="shared" si="8"/>
        <v>11177.759999999998</v>
      </c>
      <c r="M173" s="17"/>
      <c r="N173" s="129"/>
    </row>
    <row r="174" spans="2:14" ht="14.25">
      <c r="B174" s="196"/>
      <c r="C174" s="196"/>
      <c r="D174" s="85"/>
      <c r="E174" s="271"/>
      <c r="F174" s="608" t="s">
        <v>814</v>
      </c>
      <c r="G174" s="618" t="s">
        <v>509</v>
      </c>
      <c r="H174" s="623">
        <v>1</v>
      </c>
      <c r="I174" s="17"/>
      <c r="J174" s="17"/>
      <c r="K174" s="17"/>
      <c r="L174" s="419"/>
      <c r="M174" s="17"/>
      <c r="N174" s="129"/>
    </row>
    <row r="175" spans="2:14" ht="14.25">
      <c r="B175" s="196"/>
      <c r="C175" s="196"/>
      <c r="D175" s="85"/>
      <c r="E175" s="271"/>
      <c r="F175" s="608" t="s">
        <v>822</v>
      </c>
      <c r="G175" s="618" t="s">
        <v>509</v>
      </c>
      <c r="H175" s="623">
        <v>2</v>
      </c>
      <c r="I175" s="17"/>
      <c r="J175" s="17"/>
      <c r="K175" s="17"/>
      <c r="L175" s="419"/>
      <c r="M175" s="17"/>
      <c r="N175" s="129"/>
    </row>
    <row r="176" spans="1:14" ht="14.25">
      <c r="A176" t="s">
        <v>397</v>
      </c>
      <c r="B176" s="196">
        <v>5</v>
      </c>
      <c r="C176" s="196">
        <v>8</v>
      </c>
      <c r="D176" s="85">
        <v>1</v>
      </c>
      <c r="E176" s="271">
        <v>3725.92</v>
      </c>
      <c r="F176" s="567" t="s">
        <v>1121</v>
      </c>
      <c r="G176" s="87" t="s">
        <v>1610</v>
      </c>
      <c r="H176" s="16">
        <v>1</v>
      </c>
      <c r="I176" s="17">
        <f>(3212*1.16)</f>
        <v>3725.9199999999996</v>
      </c>
      <c r="J176" s="17"/>
      <c r="K176" s="17"/>
      <c r="L176" s="419">
        <f>I176*H176</f>
        <v>3725.9199999999996</v>
      </c>
      <c r="M176" s="17"/>
      <c r="N176" s="129"/>
    </row>
    <row r="177" spans="1:14" ht="14.25">
      <c r="A177" t="s">
        <v>397</v>
      </c>
      <c r="B177" s="196">
        <v>5</v>
      </c>
      <c r="C177" s="196">
        <v>8</v>
      </c>
      <c r="D177" s="85">
        <v>1</v>
      </c>
      <c r="E177" s="271">
        <v>3981.12</v>
      </c>
      <c r="F177" s="567" t="s">
        <v>1122</v>
      </c>
      <c r="G177" s="87" t="s">
        <v>1610</v>
      </c>
      <c r="H177" s="16">
        <v>1</v>
      </c>
      <c r="I177" s="17">
        <f>(3432*1.16)</f>
        <v>3981.12</v>
      </c>
      <c r="J177" s="17"/>
      <c r="K177" s="17"/>
      <c r="L177" s="419">
        <f>I177*H177</f>
        <v>3981.12</v>
      </c>
      <c r="M177" s="17"/>
      <c r="N177" s="129"/>
    </row>
    <row r="178" spans="1:14" ht="14.25">
      <c r="A178" t="s">
        <v>391</v>
      </c>
      <c r="B178" s="196">
        <v>5</v>
      </c>
      <c r="C178" s="196">
        <v>9</v>
      </c>
      <c r="D178" s="85">
        <v>1</v>
      </c>
      <c r="E178" s="271">
        <v>500000</v>
      </c>
      <c r="F178" s="598" t="s">
        <v>716</v>
      </c>
      <c r="G178" s="614" t="s">
        <v>642</v>
      </c>
      <c r="H178" s="622">
        <v>1</v>
      </c>
      <c r="I178" s="17">
        <v>500000</v>
      </c>
      <c r="J178" s="17"/>
      <c r="K178" s="17"/>
      <c r="L178" s="419">
        <f>I178*H178</f>
        <v>500000</v>
      </c>
      <c r="M178" s="17"/>
      <c r="N178" s="129"/>
    </row>
    <row r="179" spans="1:14" ht="14.25">
      <c r="A179" t="s">
        <v>823</v>
      </c>
      <c r="B179" s="196"/>
      <c r="C179" s="196"/>
      <c r="D179" s="85"/>
      <c r="E179" s="271"/>
      <c r="F179" s="564" t="s">
        <v>824</v>
      </c>
      <c r="G179" s="533" t="s">
        <v>808</v>
      </c>
      <c r="H179" s="534">
        <v>4</v>
      </c>
      <c r="I179" s="17"/>
      <c r="J179" s="17"/>
      <c r="K179" s="17"/>
      <c r="L179" s="419"/>
      <c r="M179" s="17"/>
      <c r="N179" s="129"/>
    </row>
    <row r="180" spans="1:14" ht="14.25">
      <c r="A180" t="s">
        <v>823</v>
      </c>
      <c r="B180" s="196"/>
      <c r="C180" s="196"/>
      <c r="D180" s="85"/>
      <c r="E180" s="271"/>
      <c r="F180" s="608" t="s">
        <v>825</v>
      </c>
      <c r="G180" s="618" t="s">
        <v>808</v>
      </c>
      <c r="H180" s="623">
        <v>4</v>
      </c>
      <c r="I180" s="17"/>
      <c r="J180" s="17"/>
      <c r="K180" s="17"/>
      <c r="L180" s="419"/>
      <c r="M180" s="17"/>
      <c r="N180" s="129"/>
    </row>
    <row r="181" spans="1:14" ht="14.25">
      <c r="A181" t="s">
        <v>398</v>
      </c>
      <c r="B181" s="196">
        <v>5</v>
      </c>
      <c r="C181" s="196">
        <v>8</v>
      </c>
      <c r="D181" s="85">
        <v>2</v>
      </c>
      <c r="E181" s="271">
        <v>25928.32</v>
      </c>
      <c r="F181" s="567" t="s">
        <v>399</v>
      </c>
      <c r="G181" s="87" t="s">
        <v>1610</v>
      </c>
      <c r="H181" s="16">
        <v>2</v>
      </c>
      <c r="I181" s="17">
        <f>(11176*1.16)</f>
        <v>12964.16</v>
      </c>
      <c r="J181" s="17"/>
      <c r="K181" s="17"/>
      <c r="L181" s="419">
        <f>I181*H181</f>
        <v>25928.32</v>
      </c>
      <c r="M181" s="17"/>
      <c r="N181" s="129"/>
    </row>
    <row r="182" spans="1:14" ht="14.25">
      <c r="A182" t="s">
        <v>826</v>
      </c>
      <c r="B182" s="196"/>
      <c r="C182" s="196"/>
      <c r="D182" s="85"/>
      <c r="E182" s="271"/>
      <c r="F182" s="564" t="s">
        <v>827</v>
      </c>
      <c r="G182" s="533" t="s">
        <v>509</v>
      </c>
      <c r="H182" s="622">
        <v>2</v>
      </c>
      <c r="I182" s="17"/>
      <c r="J182" s="17"/>
      <c r="K182" s="17"/>
      <c r="L182" s="419"/>
      <c r="M182" s="17"/>
      <c r="N182" s="129"/>
    </row>
    <row r="183" spans="1:14" ht="14.25">
      <c r="A183" t="s">
        <v>831</v>
      </c>
      <c r="B183" s="196"/>
      <c r="C183" s="196"/>
      <c r="D183" s="85"/>
      <c r="E183" s="271"/>
      <c r="F183" s="564" t="s">
        <v>832</v>
      </c>
      <c r="G183" s="533" t="s">
        <v>808</v>
      </c>
      <c r="H183" s="534">
        <v>1</v>
      </c>
      <c r="I183" s="17"/>
      <c r="J183" s="17"/>
      <c r="K183" s="17"/>
      <c r="L183" s="419"/>
      <c r="M183" s="17"/>
      <c r="N183" s="129"/>
    </row>
    <row r="184" spans="1:14" ht="14.25">
      <c r="A184" t="s">
        <v>78</v>
      </c>
      <c r="B184" s="196">
        <v>5</v>
      </c>
      <c r="C184" s="196">
        <v>8</v>
      </c>
      <c r="D184" s="85">
        <v>1</v>
      </c>
      <c r="E184" s="271">
        <v>565036</v>
      </c>
      <c r="F184" s="608" t="s">
        <v>349</v>
      </c>
      <c r="G184" s="624" t="s">
        <v>509</v>
      </c>
      <c r="H184" s="623">
        <v>2</v>
      </c>
      <c r="I184" s="17">
        <f>(580000-14964)</f>
        <v>565036</v>
      </c>
      <c r="J184" s="17"/>
      <c r="K184" s="17"/>
      <c r="L184" s="419">
        <f>I184*H184</f>
        <v>1130072</v>
      </c>
      <c r="M184" s="17"/>
      <c r="N184" s="129"/>
    </row>
    <row r="185" spans="1:14" ht="14.25">
      <c r="A185" t="s">
        <v>392</v>
      </c>
      <c r="B185" s="196">
        <v>5</v>
      </c>
      <c r="C185" s="196">
        <v>8</v>
      </c>
      <c r="D185" s="85">
        <v>1</v>
      </c>
      <c r="E185" s="271">
        <v>171873.6</v>
      </c>
      <c r="F185" s="598" t="s">
        <v>1183</v>
      </c>
      <c r="G185" s="614"/>
      <c r="H185" s="16">
        <v>0</v>
      </c>
      <c r="I185" s="17">
        <f>317020-145154+7.6</f>
        <v>171873.6</v>
      </c>
      <c r="J185" s="17"/>
      <c r="K185" s="17"/>
      <c r="L185" s="419">
        <f>I185*H185</f>
        <v>0</v>
      </c>
      <c r="M185" s="17"/>
      <c r="N185" s="129"/>
    </row>
    <row r="186" spans="2:15" ht="14.25">
      <c r="B186" s="196"/>
      <c r="C186" s="196"/>
      <c r="D186" s="85"/>
      <c r="E186" s="271"/>
      <c r="F186" s="86" t="s">
        <v>873</v>
      </c>
      <c r="G186" s="87"/>
      <c r="H186" s="16" t="s">
        <v>1368</v>
      </c>
      <c r="I186" s="17" t="s">
        <v>1368</v>
      </c>
      <c r="J186" s="17"/>
      <c r="K186" s="17"/>
      <c r="L186" s="419">
        <f>4067704.81-582910.8</f>
        <v>3484794.01</v>
      </c>
      <c r="M186" s="17"/>
      <c r="N186" s="129">
        <f>L186</f>
        <v>3484794.01</v>
      </c>
      <c r="O186" s="286" t="s">
        <v>1368</v>
      </c>
    </row>
    <row r="187" spans="2:14" ht="15">
      <c r="B187" s="196"/>
      <c r="C187" s="196"/>
      <c r="D187" s="85"/>
      <c r="E187" s="271">
        <v>2000000</v>
      </c>
      <c r="F187" s="14" t="s">
        <v>703</v>
      </c>
      <c r="G187" s="19"/>
      <c r="H187" s="16"/>
      <c r="I187" s="17"/>
      <c r="J187" s="17"/>
      <c r="K187" s="17"/>
      <c r="L187" s="421">
        <f>SUM(L148:L186)</f>
        <v>6999999.996666666</v>
      </c>
      <c r="M187" s="18"/>
      <c r="N187" s="317">
        <f>SUM(L148:L184)</f>
        <v>3515205.986666667</v>
      </c>
    </row>
    <row r="188" spans="2:14" ht="15">
      <c r="B188" s="196"/>
      <c r="C188" s="196"/>
      <c r="D188" s="85"/>
      <c r="E188" s="271"/>
      <c r="F188" s="14"/>
      <c r="G188" s="19"/>
      <c r="H188" s="16"/>
      <c r="I188" s="17"/>
      <c r="J188" s="17"/>
      <c r="K188" s="17"/>
      <c r="L188" s="421"/>
      <c r="M188" s="18"/>
      <c r="N188" s="317">
        <f>N186+N187</f>
        <v>6999999.996666666</v>
      </c>
    </row>
    <row r="189" spans="2:14" ht="15">
      <c r="B189" s="196"/>
      <c r="C189" s="196"/>
      <c r="D189" s="198"/>
      <c r="E189" s="271">
        <v>0</v>
      </c>
      <c r="F189" s="102" t="s">
        <v>242</v>
      </c>
      <c r="G189" s="10"/>
      <c r="H189" s="11"/>
      <c r="I189" s="12"/>
      <c r="J189" s="12"/>
      <c r="K189" s="12"/>
      <c r="L189" s="422">
        <f>L190</f>
        <v>0</v>
      </c>
      <c r="M189" s="13"/>
      <c r="N189" s="318"/>
    </row>
    <row r="190" spans="1:14" ht="14.25">
      <c r="A190" t="s">
        <v>909</v>
      </c>
      <c r="B190" s="196"/>
      <c r="C190" s="196"/>
      <c r="D190" s="198"/>
      <c r="E190" s="271"/>
      <c r="F190" s="83" t="s">
        <v>913</v>
      </c>
      <c r="G190" s="10"/>
      <c r="H190" s="16">
        <v>0</v>
      </c>
      <c r="I190" s="123">
        <v>11602800</v>
      </c>
      <c r="J190" s="17"/>
      <c r="K190" s="17"/>
      <c r="L190" s="419">
        <f>I190*H190</f>
        <v>0</v>
      </c>
      <c r="M190" s="17"/>
      <c r="N190" s="129"/>
    </row>
    <row r="191" spans="2:14" ht="15">
      <c r="B191" s="196"/>
      <c r="C191" s="196"/>
      <c r="D191" s="198"/>
      <c r="E191" s="271"/>
      <c r="F191" s="102"/>
      <c r="G191" s="10"/>
      <c r="H191" s="11"/>
      <c r="I191" s="12"/>
      <c r="J191" s="12"/>
      <c r="K191" s="12"/>
      <c r="L191" s="422"/>
      <c r="M191" s="13"/>
      <c r="N191" s="318"/>
    </row>
    <row r="192" spans="2:15" ht="16.5">
      <c r="B192" s="196"/>
      <c r="C192" s="196"/>
      <c r="D192" s="198"/>
      <c r="E192" s="271">
        <v>31507000</v>
      </c>
      <c r="F192" s="102" t="s">
        <v>717</v>
      </c>
      <c r="G192" s="10"/>
      <c r="H192" s="11"/>
      <c r="I192" s="12" t="s">
        <v>1368</v>
      </c>
      <c r="J192" s="12"/>
      <c r="K192" s="12"/>
      <c r="L192" s="420">
        <f>L215</f>
        <v>311754513.1</v>
      </c>
      <c r="M192" s="105"/>
      <c r="N192" s="316"/>
      <c r="O192" s="286">
        <f>107000000-L192</f>
        <v>-204754513.10000002</v>
      </c>
    </row>
    <row r="193" spans="1:14" ht="14.25">
      <c r="A193" t="s">
        <v>400</v>
      </c>
      <c r="B193" s="196">
        <v>5</v>
      </c>
      <c r="C193" s="196">
        <v>3</v>
      </c>
      <c r="D193" s="85"/>
      <c r="E193" s="271">
        <v>49000000</v>
      </c>
      <c r="F193" s="14" t="s">
        <v>718</v>
      </c>
      <c r="G193" s="15" t="s">
        <v>719</v>
      </c>
      <c r="H193" s="177">
        <v>3200</v>
      </c>
      <c r="I193" s="123">
        <v>16000</v>
      </c>
      <c r="J193" s="123"/>
      <c r="K193" s="123"/>
      <c r="L193" s="569">
        <f aca="true" t="shared" si="9" ref="L193:L206">I193*H193</f>
        <v>51200000</v>
      </c>
      <c r="M193" s="17"/>
      <c r="N193" s="129"/>
    </row>
    <row r="194" spans="1:14" ht="14.25">
      <c r="A194" t="s">
        <v>1113</v>
      </c>
      <c r="B194" s="196"/>
      <c r="C194" s="196"/>
      <c r="D194" s="85"/>
      <c r="E194" s="271"/>
      <c r="F194" s="565" t="s">
        <v>1112</v>
      </c>
      <c r="G194" s="95" t="s">
        <v>1610</v>
      </c>
      <c r="H194" s="177">
        <v>6</v>
      </c>
      <c r="I194" s="743">
        <f>31360*1.16</f>
        <v>36377.6</v>
      </c>
      <c r="J194" s="123"/>
      <c r="K194" s="123"/>
      <c r="L194" s="569">
        <f t="shared" si="9"/>
        <v>218265.59999999998</v>
      </c>
      <c r="M194" s="17"/>
      <c r="N194" s="129"/>
    </row>
    <row r="195" spans="1:14" ht="14.25">
      <c r="A195" t="s">
        <v>402</v>
      </c>
      <c r="B195" s="196">
        <v>5</v>
      </c>
      <c r="C195" s="196">
        <v>7</v>
      </c>
      <c r="D195" s="85">
        <v>1</v>
      </c>
      <c r="E195" s="271">
        <v>41200</v>
      </c>
      <c r="F195" s="663" t="s">
        <v>1526</v>
      </c>
      <c r="G195" s="614"/>
      <c r="H195" s="177">
        <v>5</v>
      </c>
      <c r="I195" s="190">
        <v>41200</v>
      </c>
      <c r="J195" s="123"/>
      <c r="K195" s="123"/>
      <c r="L195" s="569">
        <f t="shared" si="9"/>
        <v>206000</v>
      </c>
      <c r="M195" s="17"/>
      <c r="N195" s="129"/>
    </row>
    <row r="196" spans="1:14" ht="14.25">
      <c r="A196" t="s">
        <v>1628</v>
      </c>
      <c r="B196" s="196"/>
      <c r="C196" s="196"/>
      <c r="D196" s="85"/>
      <c r="E196" s="271"/>
      <c r="F196" s="568" t="s">
        <v>817</v>
      </c>
      <c r="G196" s="532" t="s">
        <v>1627</v>
      </c>
      <c r="H196" s="177">
        <v>10</v>
      </c>
      <c r="I196" s="578">
        <v>374400</v>
      </c>
      <c r="J196" s="123"/>
      <c r="K196" s="123"/>
      <c r="L196" s="569">
        <f t="shared" si="9"/>
        <v>3744000</v>
      </c>
      <c r="M196" s="17"/>
      <c r="N196" s="129"/>
    </row>
    <row r="197" spans="1:14" ht="14.25">
      <c r="A197" t="s">
        <v>1628</v>
      </c>
      <c r="B197" s="196"/>
      <c r="C197" s="196"/>
      <c r="D197" s="85"/>
      <c r="E197" s="271"/>
      <c r="F197" s="568" t="s">
        <v>815</v>
      </c>
      <c r="G197" s="532" t="s">
        <v>1627</v>
      </c>
      <c r="H197" s="177">
        <v>9</v>
      </c>
      <c r="I197" s="578">
        <v>278520</v>
      </c>
      <c r="J197" s="123"/>
      <c r="K197" s="123"/>
      <c r="L197" s="569">
        <f t="shared" si="9"/>
        <v>2506680</v>
      </c>
      <c r="M197" s="17"/>
      <c r="N197" s="129"/>
    </row>
    <row r="198" spans="1:14" ht="14.25">
      <c r="A198" t="s">
        <v>1628</v>
      </c>
      <c r="B198" s="196"/>
      <c r="C198" s="196"/>
      <c r="D198" s="85"/>
      <c r="E198" s="271"/>
      <c r="F198" s="568" t="s">
        <v>816</v>
      </c>
      <c r="G198" s="532" t="s">
        <v>1627</v>
      </c>
      <c r="H198" s="177">
        <v>10</v>
      </c>
      <c r="I198" s="578">
        <v>294840</v>
      </c>
      <c r="J198" s="123"/>
      <c r="K198" s="123"/>
      <c r="L198" s="569">
        <f t="shared" si="9"/>
        <v>2948400</v>
      </c>
      <c r="M198" s="17"/>
      <c r="N198" s="129"/>
    </row>
    <row r="199" spans="1:14" ht="14.25">
      <c r="A199" t="s">
        <v>1628</v>
      </c>
      <c r="B199" s="196"/>
      <c r="C199" s="196"/>
      <c r="D199" s="85"/>
      <c r="E199" s="271"/>
      <c r="F199" s="568" t="s">
        <v>818</v>
      </c>
      <c r="G199" s="532" t="s">
        <v>1627</v>
      </c>
      <c r="H199" s="177">
        <v>7</v>
      </c>
      <c r="I199" s="578">
        <v>118680</v>
      </c>
      <c r="J199" s="123"/>
      <c r="K199" s="123"/>
      <c r="L199" s="569">
        <f t="shared" si="9"/>
        <v>830760</v>
      </c>
      <c r="M199" s="17"/>
      <c r="N199" s="129"/>
    </row>
    <row r="200" spans="1:14" ht="14.25">
      <c r="A200" t="s">
        <v>1630</v>
      </c>
      <c r="B200" s="196"/>
      <c r="C200" s="196"/>
      <c r="D200" s="85"/>
      <c r="E200" s="271"/>
      <c r="F200" s="741" t="s">
        <v>819</v>
      </c>
      <c r="G200" s="619" t="s">
        <v>1627</v>
      </c>
      <c r="H200" s="177">
        <v>10</v>
      </c>
      <c r="I200" s="578">
        <v>436801</v>
      </c>
      <c r="J200" s="123"/>
      <c r="K200" s="123"/>
      <c r="L200" s="569">
        <f t="shared" si="9"/>
        <v>4368010</v>
      </c>
      <c r="M200" s="17"/>
      <c r="N200" s="129"/>
    </row>
    <row r="201" spans="2:14" ht="14.25">
      <c r="B201" s="196"/>
      <c r="C201" s="196"/>
      <c r="D201" s="85"/>
      <c r="E201" s="271"/>
      <c r="F201" s="406" t="s">
        <v>205</v>
      </c>
      <c r="G201" s="95" t="s">
        <v>1610</v>
      </c>
      <c r="H201" s="118">
        <v>30</v>
      </c>
      <c r="I201" s="570">
        <v>24000</v>
      </c>
      <c r="J201" s="123"/>
      <c r="K201" s="123"/>
      <c r="L201" s="569">
        <f t="shared" si="9"/>
        <v>720000</v>
      </c>
      <c r="M201" s="17"/>
      <c r="N201" s="129"/>
    </row>
    <row r="202" spans="1:14" ht="15.75">
      <c r="A202" t="s">
        <v>407</v>
      </c>
      <c r="B202" s="196">
        <v>5</v>
      </c>
      <c r="C202" s="196">
        <v>4</v>
      </c>
      <c r="D202" s="85">
        <v>4</v>
      </c>
      <c r="E202" s="271">
        <v>519680</v>
      </c>
      <c r="F202" s="597" t="s">
        <v>508</v>
      </c>
      <c r="G202" s="15"/>
      <c r="H202" s="177">
        <v>1</v>
      </c>
      <c r="I202" s="123">
        <v>170000000</v>
      </c>
      <c r="J202" s="123"/>
      <c r="K202" s="123"/>
      <c r="L202" s="569">
        <f t="shared" si="9"/>
        <v>170000000</v>
      </c>
      <c r="M202" s="17"/>
      <c r="N202" s="129"/>
    </row>
    <row r="203" spans="1:15" ht="14.25">
      <c r="A203" t="s">
        <v>403</v>
      </c>
      <c r="B203" s="196">
        <v>5</v>
      </c>
      <c r="C203" s="196">
        <v>8</v>
      </c>
      <c r="D203" s="85">
        <v>1</v>
      </c>
      <c r="E203" s="271">
        <v>6281618</v>
      </c>
      <c r="F203" s="14" t="s">
        <v>1185</v>
      </c>
      <c r="G203" s="15" t="s">
        <v>649</v>
      </c>
      <c r="H203" s="177">
        <v>1</v>
      </c>
      <c r="I203" s="123">
        <f>(99900*1.16)</f>
        <v>115883.99999999999</v>
      </c>
      <c r="J203" s="123"/>
      <c r="K203" s="123"/>
      <c r="L203" s="569">
        <f t="shared" si="9"/>
        <v>115883.99999999999</v>
      </c>
      <c r="M203" s="17"/>
      <c r="N203" s="129"/>
      <c r="O203" t="s">
        <v>1368</v>
      </c>
    </row>
    <row r="204" spans="1:14" ht="14.25">
      <c r="A204" t="s">
        <v>404</v>
      </c>
      <c r="B204" s="196">
        <v>5</v>
      </c>
      <c r="C204" s="196">
        <v>7</v>
      </c>
      <c r="D204" s="85">
        <v>15</v>
      </c>
      <c r="E204" s="271">
        <v>3636600</v>
      </c>
      <c r="F204" s="14" t="s">
        <v>1215</v>
      </c>
      <c r="G204" s="15"/>
      <c r="H204" s="177">
        <v>15</v>
      </c>
      <c r="I204" s="123">
        <v>68626</v>
      </c>
      <c r="J204" s="123"/>
      <c r="K204" s="123"/>
      <c r="L204" s="569">
        <f t="shared" si="9"/>
        <v>1029390</v>
      </c>
      <c r="M204" s="17"/>
      <c r="N204" s="129"/>
    </row>
    <row r="205" spans="1:14" ht="14.25">
      <c r="A205" t="s">
        <v>407</v>
      </c>
      <c r="B205" s="196">
        <v>5</v>
      </c>
      <c r="C205" s="196">
        <v>4</v>
      </c>
      <c r="D205" s="85">
        <v>11</v>
      </c>
      <c r="E205" s="271">
        <v>686261.8181818182</v>
      </c>
      <c r="F205" s="597" t="s">
        <v>368</v>
      </c>
      <c r="G205" s="15"/>
      <c r="H205" s="177">
        <v>5</v>
      </c>
      <c r="I205" s="123">
        <f>34450*1.16</f>
        <v>39962</v>
      </c>
      <c r="J205" s="123"/>
      <c r="K205" s="123"/>
      <c r="L205" s="569">
        <f t="shared" si="9"/>
        <v>199810</v>
      </c>
      <c r="M205" s="17"/>
      <c r="N205" s="129"/>
    </row>
    <row r="206" spans="1:14" ht="14.25">
      <c r="A206" t="s">
        <v>407</v>
      </c>
      <c r="B206" s="196">
        <v>5</v>
      </c>
      <c r="C206" s="196">
        <v>4</v>
      </c>
      <c r="D206" s="85">
        <v>13</v>
      </c>
      <c r="E206" s="271">
        <v>399620</v>
      </c>
      <c r="F206" s="112" t="s">
        <v>302</v>
      </c>
      <c r="G206" s="15"/>
      <c r="H206" s="177">
        <v>5</v>
      </c>
      <c r="I206" s="123">
        <f>44800*1.16</f>
        <v>51968</v>
      </c>
      <c r="J206" s="123"/>
      <c r="K206" s="123"/>
      <c r="L206" s="569">
        <f t="shared" si="9"/>
        <v>259840</v>
      </c>
      <c r="M206" s="17"/>
      <c r="N206" s="129"/>
    </row>
    <row r="207" spans="1:15" ht="14.25">
      <c r="A207" t="s">
        <v>72</v>
      </c>
      <c r="B207" s="196">
        <v>5</v>
      </c>
      <c r="C207" s="196">
        <v>3</v>
      </c>
      <c r="D207" s="85">
        <v>2</v>
      </c>
      <c r="E207" s="271">
        <v>35300000</v>
      </c>
      <c r="F207" s="601" t="s">
        <v>73</v>
      </c>
      <c r="G207" s="15" t="s">
        <v>642</v>
      </c>
      <c r="H207" s="177">
        <v>3</v>
      </c>
      <c r="I207" s="123">
        <f>1508000/2</f>
        <v>754000</v>
      </c>
      <c r="J207" s="123"/>
      <c r="K207" s="123"/>
      <c r="L207" s="569">
        <v>1650000</v>
      </c>
      <c r="M207" s="17"/>
      <c r="N207" s="129"/>
      <c r="O207" s="286">
        <f>L15-1037473000</f>
        <v>464281513.0980954</v>
      </c>
    </row>
    <row r="208" spans="2:14" ht="14.25">
      <c r="B208" s="196"/>
      <c r="C208" s="196"/>
      <c r="D208" s="85"/>
      <c r="E208" s="271"/>
      <c r="F208" s="742" t="s">
        <v>371</v>
      </c>
      <c r="G208" s="15" t="s">
        <v>642</v>
      </c>
      <c r="H208" s="177">
        <v>300</v>
      </c>
      <c r="I208" s="123">
        <v>99178</v>
      </c>
      <c r="J208" s="123"/>
      <c r="K208" s="123"/>
      <c r="L208" s="569">
        <f aca="true" t="shared" si="10" ref="L208:L213">I208*H208</f>
        <v>29753400</v>
      </c>
      <c r="M208" s="17"/>
      <c r="N208" s="129"/>
    </row>
    <row r="209" spans="1:14" ht="14.25">
      <c r="A209" t="s">
        <v>400</v>
      </c>
      <c r="B209" s="196">
        <v>5</v>
      </c>
      <c r="C209" s="196">
        <v>3</v>
      </c>
      <c r="D209" s="85">
        <v>1</v>
      </c>
      <c r="E209" s="271">
        <v>104539.14</v>
      </c>
      <c r="F209" s="83" t="s">
        <v>1616</v>
      </c>
      <c r="G209" s="15"/>
      <c r="H209" s="177">
        <v>1</v>
      </c>
      <c r="I209" s="123">
        <f>35300000/2</f>
        <v>17650000</v>
      </c>
      <c r="J209" s="123"/>
      <c r="K209" s="123"/>
      <c r="L209" s="569">
        <f t="shared" si="10"/>
        <v>17650000</v>
      </c>
      <c r="M209" s="17"/>
      <c r="N209" s="129"/>
    </row>
    <row r="210" spans="1:14" ht="14.25">
      <c r="A210" t="s">
        <v>1281</v>
      </c>
      <c r="B210" s="196">
        <v>5</v>
      </c>
      <c r="C210" s="196">
        <v>3</v>
      </c>
      <c r="D210" s="85">
        <v>12</v>
      </c>
      <c r="E210" s="271">
        <v>17835631.999999996</v>
      </c>
      <c r="F210" s="14" t="s">
        <v>1116</v>
      </c>
      <c r="G210" s="15" t="s">
        <v>721</v>
      </c>
      <c r="H210" s="177">
        <v>10</v>
      </c>
      <c r="I210" s="123">
        <v>34846.38</v>
      </c>
      <c r="J210" s="123"/>
      <c r="K210" s="123"/>
      <c r="L210" s="569">
        <f t="shared" si="10"/>
        <v>348463.8</v>
      </c>
      <c r="M210" s="17"/>
      <c r="N210" s="129"/>
    </row>
    <row r="211" spans="1:14" ht="14.25">
      <c r="A211" t="s">
        <v>1280</v>
      </c>
      <c r="B211" s="196">
        <v>5</v>
      </c>
      <c r="C211" s="196">
        <v>3</v>
      </c>
      <c r="D211" s="85">
        <v>1</v>
      </c>
      <c r="E211" s="271">
        <v>0</v>
      </c>
      <c r="F211" s="256" t="s">
        <v>406</v>
      </c>
      <c r="G211" s="288" t="s">
        <v>642</v>
      </c>
      <c r="H211" s="571">
        <v>40</v>
      </c>
      <c r="I211" s="123">
        <f>(727320/6)</f>
        <v>121220</v>
      </c>
      <c r="J211" s="123"/>
      <c r="K211" s="123"/>
      <c r="L211" s="569">
        <f t="shared" si="10"/>
        <v>4848800</v>
      </c>
      <c r="M211" s="17"/>
      <c r="N211" s="129"/>
    </row>
    <row r="212" spans="1:14" ht="15" thickBot="1">
      <c r="A212" t="s">
        <v>1279</v>
      </c>
      <c r="B212" s="196">
        <v>5</v>
      </c>
      <c r="C212" s="196">
        <v>7</v>
      </c>
      <c r="D212" s="268">
        <v>5</v>
      </c>
      <c r="E212" s="271">
        <v>48000</v>
      </c>
      <c r="F212" s="256" t="s">
        <v>348</v>
      </c>
      <c r="G212" s="21" t="s">
        <v>642</v>
      </c>
      <c r="H212" s="571">
        <v>3</v>
      </c>
      <c r="I212" s="572">
        <v>6281618</v>
      </c>
      <c r="J212" s="572"/>
      <c r="K212" s="572"/>
      <c r="L212" s="569">
        <f t="shared" si="10"/>
        <v>18844854</v>
      </c>
      <c r="M212" s="17"/>
      <c r="N212" s="129"/>
    </row>
    <row r="213" spans="2:14" ht="15" thickBot="1">
      <c r="B213" s="196"/>
      <c r="C213" s="196"/>
      <c r="D213" s="201"/>
      <c r="E213" s="271"/>
      <c r="F213" s="20" t="s">
        <v>722</v>
      </c>
      <c r="G213" s="21" t="s">
        <v>642</v>
      </c>
      <c r="H213" s="573">
        <v>10</v>
      </c>
      <c r="I213" s="574">
        <v>31195.57</v>
      </c>
      <c r="J213" s="574"/>
      <c r="K213" s="574"/>
      <c r="L213" s="569">
        <f t="shared" si="10"/>
        <v>311955.7</v>
      </c>
      <c r="M213" s="17"/>
      <c r="N213" s="129"/>
    </row>
    <row r="214" spans="2:14" ht="14.25">
      <c r="B214" s="196"/>
      <c r="C214" s="196"/>
      <c r="D214" s="201">
        <v>10</v>
      </c>
      <c r="E214" s="271">
        <v>311045.7</v>
      </c>
      <c r="F214" s="2" t="s">
        <v>425</v>
      </c>
      <c r="G214" s="92"/>
      <c r="H214" s="575"/>
      <c r="I214" s="576"/>
      <c r="J214" s="576"/>
      <c r="K214" s="576"/>
      <c r="L214" s="577">
        <v>0</v>
      </c>
      <c r="M214" s="17"/>
      <c r="N214" s="129"/>
    </row>
    <row r="215" spans="2:14" ht="15.75" thickBot="1">
      <c r="B215" s="196"/>
      <c r="C215" s="196"/>
      <c r="D215" s="201"/>
      <c r="E215" s="271"/>
      <c r="F215" s="2" t="s">
        <v>703</v>
      </c>
      <c r="G215" s="92"/>
      <c r="H215" s="752"/>
      <c r="I215" s="753"/>
      <c r="J215" s="753"/>
      <c r="K215" s="753"/>
      <c r="L215" s="754">
        <f>SUM(L193:L214)</f>
        <v>311754513.1</v>
      </c>
      <c r="M215" s="23"/>
      <c r="N215" s="129"/>
    </row>
    <row r="216" spans="2:15" ht="14.25">
      <c r="B216" s="196"/>
      <c r="C216" s="196"/>
      <c r="D216" s="201"/>
      <c r="E216" s="197"/>
      <c r="F216" s="742"/>
      <c r="G216" s="244"/>
      <c r="H216" s="182"/>
      <c r="I216" s="129"/>
      <c r="J216" s="129"/>
      <c r="K216" s="129"/>
      <c r="L216" s="129"/>
      <c r="M216" s="129"/>
      <c r="O216" t="s">
        <v>1368</v>
      </c>
    </row>
    <row r="217" spans="2:14" ht="15.75">
      <c r="B217" s="196"/>
      <c r="C217" s="196"/>
      <c r="D217" s="196"/>
      <c r="E217" s="82"/>
      <c r="F217" s="742"/>
      <c r="G217" s="319"/>
      <c r="H217" s="319"/>
      <c r="I217" s="319"/>
      <c r="J217" s="319"/>
      <c r="K217" s="319"/>
      <c r="L217" s="129"/>
      <c r="M217" s="317"/>
      <c r="N217" s="129">
        <f>300000000-L192</f>
        <v>-11754513.100000024</v>
      </c>
    </row>
    <row r="218" spans="2:14" ht="16.5" thickBot="1">
      <c r="B218" s="196"/>
      <c r="C218" s="196"/>
      <c r="D218" s="196"/>
      <c r="E218" s="82"/>
      <c r="F218" s="319"/>
      <c r="G218" s="244"/>
      <c r="H218" s="182"/>
      <c r="I218" s="129"/>
      <c r="J218" s="129"/>
      <c r="K218" s="129"/>
      <c r="L218" s="129"/>
      <c r="M218" s="129"/>
      <c r="N218" s="28"/>
    </row>
    <row r="219" spans="2:14" ht="24" customHeight="1" thickBot="1">
      <c r="B219" s="196"/>
      <c r="C219" s="196"/>
      <c r="D219" s="196"/>
      <c r="E219" s="82"/>
      <c r="F219" s="763" t="s">
        <v>1563</v>
      </c>
      <c r="G219" s="757"/>
      <c r="H219" s="764"/>
      <c r="I219" s="765">
        <f>L220+L236+L249+L412+L435+L442+L457+L480+L484+L734+L1043-26564</f>
        <v>1334689128.0042858</v>
      </c>
      <c r="J219" s="766"/>
      <c r="K219" s="766"/>
      <c r="L219" s="767"/>
      <c r="M219" s="24"/>
      <c r="N219" s="129"/>
    </row>
    <row r="220" spans="2:14" ht="16.5">
      <c r="B220" s="196"/>
      <c r="C220" s="196"/>
      <c r="D220" s="196"/>
      <c r="E220" s="82"/>
      <c r="F220" s="101" t="s">
        <v>724</v>
      </c>
      <c r="G220" s="29"/>
      <c r="H220" s="30"/>
      <c r="I220" s="9"/>
      <c r="J220" s="9"/>
      <c r="K220" s="9"/>
      <c r="L220" s="418">
        <f>L234</f>
        <v>91000000</v>
      </c>
      <c r="M220" s="446"/>
      <c r="N220" s="320"/>
    </row>
    <row r="221" spans="1:14" ht="16.5">
      <c r="A221" t="s">
        <v>1058</v>
      </c>
      <c r="B221" s="196"/>
      <c r="C221" s="196"/>
      <c r="D221" s="196"/>
      <c r="E221" s="199">
        <f>SUM(E222:E233)</f>
        <v>80522763.48</v>
      </c>
      <c r="F221" s="14" t="s">
        <v>725</v>
      </c>
      <c r="G221" s="15" t="s">
        <v>642</v>
      </c>
      <c r="H221" s="16">
        <v>150</v>
      </c>
      <c r="I221" s="17">
        <v>29000</v>
      </c>
      <c r="J221" s="17"/>
      <c r="K221" s="17"/>
      <c r="L221" s="419">
        <f aca="true" t="shared" si="11" ref="L221:L230">I221*H221</f>
        <v>4350000</v>
      </c>
      <c r="M221" s="105"/>
      <c r="N221" s="316"/>
    </row>
    <row r="222" spans="1:14" ht="14.25">
      <c r="A222" t="s">
        <v>1058</v>
      </c>
      <c r="B222" s="196">
        <v>5</v>
      </c>
      <c r="C222" s="196">
        <v>7</v>
      </c>
      <c r="D222" s="16">
        <v>150</v>
      </c>
      <c r="E222" s="197">
        <v>4350000</v>
      </c>
      <c r="F222" s="14" t="s">
        <v>1456</v>
      </c>
      <c r="G222" s="15"/>
      <c r="H222" s="16">
        <v>50</v>
      </c>
      <c r="I222" s="17">
        <v>23000</v>
      </c>
      <c r="J222" s="17"/>
      <c r="K222" s="17"/>
      <c r="L222" s="419">
        <f t="shared" si="11"/>
        <v>1150000</v>
      </c>
      <c r="M222" s="17"/>
      <c r="N222" s="129"/>
    </row>
    <row r="223" spans="1:14" ht="14.25">
      <c r="A223" t="s">
        <v>1059</v>
      </c>
      <c r="B223" s="89"/>
      <c r="C223" s="89"/>
      <c r="D223" s="16">
        <v>50</v>
      </c>
      <c r="E223" s="293">
        <v>1150000</v>
      </c>
      <c r="F223" s="14" t="s">
        <v>726</v>
      </c>
      <c r="G223" s="15" t="s">
        <v>727</v>
      </c>
      <c r="H223" s="16">
        <v>20</v>
      </c>
      <c r="I223" s="17">
        <v>69667.534</v>
      </c>
      <c r="J223" s="17"/>
      <c r="K223" s="17"/>
      <c r="L223" s="419">
        <f t="shared" si="11"/>
        <v>1393350.68</v>
      </c>
      <c r="M223" s="17"/>
      <c r="N223" s="129"/>
    </row>
    <row r="224" spans="1:14" ht="14.25">
      <c r="A224" t="s">
        <v>1282</v>
      </c>
      <c r="B224" s="89">
        <v>5</v>
      </c>
      <c r="C224" s="89">
        <v>10</v>
      </c>
      <c r="D224" s="16">
        <v>20</v>
      </c>
      <c r="E224">
        <v>1393350.68</v>
      </c>
      <c r="F224" s="14" t="s">
        <v>728</v>
      </c>
      <c r="G224" s="15" t="s">
        <v>642</v>
      </c>
      <c r="H224" s="16">
        <v>130</v>
      </c>
      <c r="I224" s="17">
        <v>38846.66</v>
      </c>
      <c r="J224" s="17"/>
      <c r="K224" s="17"/>
      <c r="L224" s="419">
        <f t="shared" si="11"/>
        <v>5050065.800000001</v>
      </c>
      <c r="M224" s="17"/>
      <c r="N224" s="129"/>
    </row>
    <row r="225" spans="1:14" ht="14.25">
      <c r="A225" t="s">
        <v>1060</v>
      </c>
      <c r="B225" s="196">
        <v>5</v>
      </c>
      <c r="C225" s="196">
        <v>7</v>
      </c>
      <c r="D225" s="16">
        <v>130</v>
      </c>
      <c r="E225" s="197">
        <v>5050065.8</v>
      </c>
      <c r="F225" s="14" t="s">
        <v>729</v>
      </c>
      <c r="G225" s="15" t="s">
        <v>642</v>
      </c>
      <c r="H225" s="16">
        <v>30</v>
      </c>
      <c r="I225" s="17">
        <v>70968</v>
      </c>
      <c r="J225" s="17"/>
      <c r="K225" s="17"/>
      <c r="L225" s="419">
        <f t="shared" si="11"/>
        <v>2129040</v>
      </c>
      <c r="M225" s="17"/>
      <c r="N225" s="129"/>
    </row>
    <row r="226" spans="1:14" ht="14.25">
      <c r="A226" t="s">
        <v>1283</v>
      </c>
      <c r="B226" s="196">
        <v>5</v>
      </c>
      <c r="C226" s="196">
        <v>7</v>
      </c>
      <c r="D226" s="16">
        <v>30</v>
      </c>
      <c r="E226" s="197">
        <v>2129040</v>
      </c>
      <c r="F226" s="14" t="s">
        <v>1455</v>
      </c>
      <c r="G226" s="15"/>
      <c r="H226" s="16">
        <v>12</v>
      </c>
      <c r="I226" s="17">
        <v>42000</v>
      </c>
      <c r="J226" s="17"/>
      <c r="K226" s="17"/>
      <c r="L226" s="419">
        <f t="shared" si="11"/>
        <v>504000</v>
      </c>
      <c r="M226" s="17"/>
      <c r="N226" s="129"/>
    </row>
    <row r="227" spans="1:14" ht="14.25">
      <c r="A227" t="s">
        <v>1284</v>
      </c>
      <c r="B227" s="196"/>
      <c r="C227" s="196"/>
      <c r="D227" s="16">
        <v>12</v>
      </c>
      <c r="E227" s="197">
        <v>504000</v>
      </c>
      <c r="F227" s="14" t="s">
        <v>740</v>
      </c>
      <c r="G227" s="15" t="s">
        <v>642</v>
      </c>
      <c r="H227" s="16">
        <v>115</v>
      </c>
      <c r="I227" s="17">
        <v>40252</v>
      </c>
      <c r="J227" s="17"/>
      <c r="K227" s="17"/>
      <c r="L227" s="419">
        <f t="shared" si="11"/>
        <v>4628980</v>
      </c>
      <c r="M227" s="17"/>
      <c r="N227" s="129"/>
    </row>
    <row r="228" spans="1:14" ht="14.25">
      <c r="A228" t="s">
        <v>1061</v>
      </c>
      <c r="B228" s="196">
        <v>5</v>
      </c>
      <c r="C228" s="196">
        <v>7</v>
      </c>
      <c r="D228" s="16">
        <v>115</v>
      </c>
      <c r="E228" s="197">
        <v>4628980</v>
      </c>
      <c r="F228" s="14" t="s">
        <v>741</v>
      </c>
      <c r="G228" s="15" t="s">
        <v>642</v>
      </c>
      <c r="H228" s="16">
        <v>150</v>
      </c>
      <c r="I228" s="17">
        <v>220000</v>
      </c>
      <c r="J228" s="17"/>
      <c r="K228" s="17"/>
      <c r="L228" s="419">
        <f t="shared" si="11"/>
        <v>33000000</v>
      </c>
      <c r="M228" s="17"/>
      <c r="N228" s="129"/>
    </row>
    <row r="229" spans="1:14" ht="14.25">
      <c r="A229" t="s">
        <v>1062</v>
      </c>
      <c r="B229" s="196">
        <v>5</v>
      </c>
      <c r="C229" s="196">
        <v>7</v>
      </c>
      <c r="D229" s="16">
        <v>150</v>
      </c>
      <c r="E229" s="197">
        <v>33000000</v>
      </c>
      <c r="F229" s="14" t="s">
        <v>742</v>
      </c>
      <c r="G229" s="15" t="s">
        <v>642</v>
      </c>
      <c r="H229" s="16">
        <v>100</v>
      </c>
      <c r="I229" s="17">
        <v>116000</v>
      </c>
      <c r="J229" s="17"/>
      <c r="K229" s="17"/>
      <c r="L229" s="419">
        <f t="shared" si="11"/>
        <v>11600000</v>
      </c>
      <c r="M229" s="17"/>
      <c r="N229" s="129"/>
    </row>
    <row r="230" spans="1:14" ht="14.25">
      <c r="A230" t="s">
        <v>1063</v>
      </c>
      <c r="B230" s="196">
        <v>5</v>
      </c>
      <c r="C230" s="196">
        <v>7</v>
      </c>
      <c r="D230" s="16">
        <v>100</v>
      </c>
      <c r="E230" s="197">
        <v>11600000</v>
      </c>
      <c r="F230" s="14" t="s">
        <v>1065</v>
      </c>
      <c r="G230" s="15"/>
      <c r="H230" s="16">
        <v>112</v>
      </c>
      <c r="I230" s="17">
        <v>25000</v>
      </c>
      <c r="J230" s="17"/>
      <c r="K230" s="17"/>
      <c r="L230" s="419">
        <f t="shared" si="11"/>
        <v>2800000</v>
      </c>
      <c r="M230" s="17"/>
      <c r="N230" s="129"/>
    </row>
    <row r="231" spans="1:14" ht="14.25">
      <c r="A231" t="s">
        <v>1063</v>
      </c>
      <c r="B231" s="196"/>
      <c r="C231" s="196"/>
      <c r="D231" s="16">
        <v>112</v>
      </c>
      <c r="E231" s="197">
        <v>2800000</v>
      </c>
      <c r="F231" s="83" t="s">
        <v>991</v>
      </c>
      <c r="G231" s="15" t="s">
        <v>727</v>
      </c>
      <c r="H231" s="16">
        <v>100</v>
      </c>
      <c r="I231" s="17">
        <v>45000</v>
      </c>
      <c r="J231" s="17"/>
      <c r="K231" s="17"/>
      <c r="L231" s="419">
        <f>H231*I231</f>
        <v>4500000</v>
      </c>
      <c r="M231" s="17"/>
      <c r="N231" s="129"/>
    </row>
    <row r="232" spans="1:14" ht="14.25">
      <c r="A232" t="s">
        <v>1064</v>
      </c>
      <c r="B232" s="196">
        <v>5</v>
      </c>
      <c r="C232" s="196">
        <v>7</v>
      </c>
      <c r="D232" s="16">
        <v>100</v>
      </c>
      <c r="E232" s="197">
        <v>4500000</v>
      </c>
      <c r="F232" s="83" t="s">
        <v>992</v>
      </c>
      <c r="G232" s="15" t="s">
        <v>727</v>
      </c>
      <c r="H232" s="16">
        <v>150</v>
      </c>
      <c r="I232" s="17">
        <f>(45000+17499.52)+282.2+0.46</f>
        <v>62782.18</v>
      </c>
      <c r="J232" s="17"/>
      <c r="K232" s="17"/>
      <c r="L232" s="419">
        <f>H232*I232</f>
        <v>9417327</v>
      </c>
      <c r="M232" s="17"/>
      <c r="N232" s="129"/>
    </row>
    <row r="233" spans="2:14" ht="14.25">
      <c r="B233" s="196">
        <v>5</v>
      </c>
      <c r="C233" s="196">
        <v>7</v>
      </c>
      <c r="D233" s="16">
        <v>150</v>
      </c>
      <c r="E233" s="197">
        <v>9417327</v>
      </c>
      <c r="F233" s="83" t="s">
        <v>873</v>
      </c>
      <c r="G233" s="15"/>
      <c r="H233" s="16"/>
      <c r="I233" s="17"/>
      <c r="J233" s="17"/>
      <c r="K233" s="17"/>
      <c r="L233" s="419">
        <f>10105051.66+372184.86</f>
        <v>10477236.52</v>
      </c>
      <c r="M233" s="17"/>
      <c r="N233" s="129"/>
    </row>
    <row r="234" spans="2:15" ht="14.25">
      <c r="B234" s="196"/>
      <c r="C234" s="196"/>
      <c r="D234" s="85"/>
      <c r="E234" s="197"/>
      <c r="F234" s="14" t="s">
        <v>703</v>
      </c>
      <c r="G234" s="15"/>
      <c r="H234" s="16"/>
      <c r="I234" s="17"/>
      <c r="J234" s="17"/>
      <c r="K234" s="17"/>
      <c r="L234" s="419">
        <f>SUM(L221:L233)</f>
        <v>91000000</v>
      </c>
      <c r="M234" s="17"/>
      <c r="N234" s="129"/>
      <c r="O234" s="286">
        <f>91000000-90627815.14</f>
        <v>372184.8599999994</v>
      </c>
    </row>
    <row r="235" spans="2:14" ht="14.25">
      <c r="B235" s="196"/>
      <c r="C235" s="196"/>
      <c r="D235" s="85"/>
      <c r="E235" s="197">
        <v>15141999.999999998</v>
      </c>
      <c r="F235" s="14"/>
      <c r="G235" s="15"/>
      <c r="H235" s="16"/>
      <c r="I235" s="17"/>
      <c r="J235" s="17"/>
      <c r="K235" s="17"/>
      <c r="L235" s="419"/>
      <c r="M235" s="17"/>
      <c r="N235" s="129"/>
    </row>
    <row r="236" spans="2:14" ht="16.5">
      <c r="B236" s="196"/>
      <c r="C236" s="196"/>
      <c r="D236" s="85"/>
      <c r="E236" s="197"/>
      <c r="F236" s="102" t="s">
        <v>743</v>
      </c>
      <c r="G236" s="31"/>
      <c r="H236" s="32"/>
      <c r="I236" s="13"/>
      <c r="J236" s="13"/>
      <c r="K236" s="13"/>
      <c r="L236" s="420">
        <f>L247</f>
        <v>200000000</v>
      </c>
      <c r="M236" s="17"/>
      <c r="N236" s="129"/>
    </row>
    <row r="237" spans="1:14" ht="16.5">
      <c r="A237" t="s">
        <v>1285</v>
      </c>
      <c r="B237" s="196">
        <v>5</v>
      </c>
      <c r="C237" s="196">
        <v>6</v>
      </c>
      <c r="D237" s="85">
        <v>10</v>
      </c>
      <c r="E237" s="739">
        <v>34000</v>
      </c>
      <c r="F237" s="14" t="s">
        <v>1106</v>
      </c>
      <c r="G237" s="15"/>
      <c r="H237" s="177">
        <v>90</v>
      </c>
      <c r="I237" s="123">
        <v>7000</v>
      </c>
      <c r="J237" s="17"/>
      <c r="K237" s="17"/>
      <c r="L237" s="419">
        <f>H237*I237</f>
        <v>630000</v>
      </c>
      <c r="M237" s="17"/>
      <c r="N237" s="316"/>
    </row>
    <row r="238" spans="1:14" ht="14.25">
      <c r="A238" t="s">
        <v>1285</v>
      </c>
      <c r="B238" s="196">
        <v>5</v>
      </c>
      <c r="C238" s="196">
        <v>3</v>
      </c>
      <c r="D238" s="85">
        <v>1</v>
      </c>
      <c r="E238" s="197">
        <v>3430</v>
      </c>
      <c r="F238" s="14" t="s">
        <v>1105</v>
      </c>
      <c r="G238" s="15"/>
      <c r="H238" s="177">
        <v>200</v>
      </c>
      <c r="I238" s="123">
        <v>7800</v>
      </c>
      <c r="J238" s="17"/>
      <c r="K238" s="17"/>
      <c r="L238" s="419">
        <f>H238*I238</f>
        <v>1560000</v>
      </c>
      <c r="M238" s="17"/>
      <c r="N238" s="129">
        <f>292000-240</f>
        <v>291760</v>
      </c>
    </row>
    <row r="239" spans="1:14" ht="14.25">
      <c r="A239" t="s">
        <v>1066</v>
      </c>
      <c r="B239" s="196">
        <v>5</v>
      </c>
      <c r="C239" s="196">
        <v>6</v>
      </c>
      <c r="D239" s="85">
        <v>10</v>
      </c>
      <c r="E239" s="739">
        <v>58400</v>
      </c>
      <c r="F239" s="601" t="s">
        <v>745</v>
      </c>
      <c r="G239" s="15" t="s">
        <v>744</v>
      </c>
      <c r="H239" s="177"/>
      <c r="I239" s="123" t="s">
        <v>1368</v>
      </c>
      <c r="J239" s="17"/>
      <c r="K239" s="17"/>
      <c r="L239" s="419">
        <f>3000000+963000</f>
        <v>3963000</v>
      </c>
      <c r="M239" s="17"/>
      <c r="N239" s="129">
        <f>N238/50</f>
        <v>5835.2</v>
      </c>
    </row>
    <row r="240" spans="1:14" ht="14.25">
      <c r="A240" t="s">
        <v>1068</v>
      </c>
      <c r="B240" s="196">
        <v>5</v>
      </c>
      <c r="C240" s="196">
        <v>6</v>
      </c>
      <c r="D240" s="85">
        <v>10</v>
      </c>
      <c r="E240" s="740">
        <v>41000</v>
      </c>
      <c r="F240" s="14" t="s">
        <v>228</v>
      </c>
      <c r="G240" s="15"/>
      <c r="H240" s="177">
        <v>50</v>
      </c>
      <c r="I240" s="123">
        <v>7000</v>
      </c>
      <c r="J240" s="17"/>
      <c r="K240" s="17"/>
      <c r="L240" s="419">
        <f aca="true" t="shared" si="12" ref="L240:L246">H240*I240</f>
        <v>350000</v>
      </c>
      <c r="M240" s="17"/>
      <c r="N240" s="129"/>
    </row>
    <row r="241" spans="1:14" ht="14.25">
      <c r="A241" t="s">
        <v>1068</v>
      </c>
      <c r="B241" s="196">
        <v>5</v>
      </c>
      <c r="C241" s="196">
        <v>6</v>
      </c>
      <c r="D241" s="85">
        <v>10</v>
      </c>
      <c r="E241" s="204">
        <v>42000</v>
      </c>
      <c r="F241" s="14" t="s">
        <v>229</v>
      </c>
      <c r="G241" s="15"/>
      <c r="H241" s="177">
        <v>40</v>
      </c>
      <c r="I241" s="123">
        <v>9326.4</v>
      </c>
      <c r="J241" s="17"/>
      <c r="K241" s="17"/>
      <c r="L241" s="419">
        <f t="shared" si="12"/>
        <v>373056</v>
      </c>
      <c r="M241" s="17"/>
      <c r="N241" s="129"/>
    </row>
    <row r="242" spans="1:14" ht="14.25">
      <c r="A242" t="s">
        <v>1068</v>
      </c>
      <c r="B242" s="196">
        <v>5</v>
      </c>
      <c r="C242" s="196">
        <v>6</v>
      </c>
      <c r="D242" s="85">
        <v>10</v>
      </c>
      <c r="E242" s="204">
        <v>93264</v>
      </c>
      <c r="F242" s="14" t="s">
        <v>230</v>
      </c>
      <c r="G242" s="15"/>
      <c r="H242" s="177">
        <v>50</v>
      </c>
      <c r="I242" s="123">
        <v>5835.2</v>
      </c>
      <c r="J242" s="17"/>
      <c r="K242" s="17"/>
      <c r="L242" s="419">
        <f t="shared" si="12"/>
        <v>291760</v>
      </c>
      <c r="M242" s="17"/>
      <c r="N242" s="129"/>
    </row>
    <row r="243" spans="1:14" ht="14.25">
      <c r="A243" t="s">
        <v>1066</v>
      </c>
      <c r="B243" s="196">
        <v>4</v>
      </c>
      <c r="C243" s="196">
        <v>3</v>
      </c>
      <c r="D243" s="85"/>
      <c r="E243" s="215">
        <v>5000000</v>
      </c>
      <c r="F243" s="597" t="s">
        <v>412</v>
      </c>
      <c r="G243" s="15"/>
      <c r="H243" s="177">
        <v>100</v>
      </c>
      <c r="I243" s="123">
        <v>3459.44</v>
      </c>
      <c r="J243" s="17"/>
      <c r="K243" s="17"/>
      <c r="L243" s="419">
        <f t="shared" si="12"/>
        <v>345944</v>
      </c>
      <c r="M243" s="17"/>
      <c r="N243" s="129"/>
    </row>
    <row r="244" spans="1:14" ht="16.5">
      <c r="A244" t="s">
        <v>1066</v>
      </c>
      <c r="B244" s="196"/>
      <c r="C244" s="196"/>
      <c r="D244" s="202"/>
      <c r="E244" s="738">
        <v>80000000</v>
      </c>
      <c r="F244" s="14" t="s">
        <v>1216</v>
      </c>
      <c r="G244" s="15" t="s">
        <v>744</v>
      </c>
      <c r="H244" s="177">
        <v>26498.46</v>
      </c>
      <c r="I244" s="123">
        <v>6500</v>
      </c>
      <c r="J244" s="17"/>
      <c r="K244" s="17"/>
      <c r="L244" s="419">
        <f t="shared" si="12"/>
        <v>172239990</v>
      </c>
      <c r="M244" s="105"/>
      <c r="N244" s="129"/>
    </row>
    <row r="245" spans="1:14" ht="14.25">
      <c r="A245" t="s">
        <v>1069</v>
      </c>
      <c r="B245" s="196">
        <v>4</v>
      </c>
      <c r="C245" s="196">
        <v>3</v>
      </c>
      <c r="D245" s="85">
        <v>27056</v>
      </c>
      <c r="E245" s="215">
        <v>73596570</v>
      </c>
      <c r="F245" s="14" t="s">
        <v>868</v>
      </c>
      <c r="G245" s="15" t="s">
        <v>744</v>
      </c>
      <c r="H245" s="177">
        <v>444.45</v>
      </c>
      <c r="I245" s="123">
        <v>45000</v>
      </c>
      <c r="J245" s="17"/>
      <c r="K245" s="17"/>
      <c r="L245" s="419">
        <f t="shared" si="12"/>
        <v>20000250</v>
      </c>
      <c r="M245" s="17"/>
      <c r="N245" s="129"/>
    </row>
    <row r="246" spans="1:14" ht="14.25">
      <c r="A246" t="s">
        <v>1067</v>
      </c>
      <c r="B246" s="196">
        <v>5</v>
      </c>
      <c r="C246" s="196">
        <v>6</v>
      </c>
      <c r="D246" s="85">
        <v>10</v>
      </c>
      <c r="E246" s="204">
        <v>38000</v>
      </c>
      <c r="F246" s="14" t="s">
        <v>227</v>
      </c>
      <c r="G246" s="15"/>
      <c r="H246" s="177">
        <v>60</v>
      </c>
      <c r="I246" s="123">
        <v>4100</v>
      </c>
      <c r="J246" s="17"/>
      <c r="K246" s="17"/>
      <c r="L246" s="419">
        <f t="shared" si="12"/>
        <v>246000</v>
      </c>
      <c r="M246" s="17"/>
      <c r="N246" s="129"/>
    </row>
    <row r="247" spans="2:15" ht="14.25">
      <c r="B247" s="196">
        <v>4</v>
      </c>
      <c r="C247" s="196">
        <v>3</v>
      </c>
      <c r="D247" s="85"/>
      <c r="E247" s="197">
        <v>1058336</v>
      </c>
      <c r="F247" s="14" t="s">
        <v>703</v>
      </c>
      <c r="G247" s="15"/>
      <c r="H247" s="16"/>
      <c r="I247" s="17"/>
      <c r="J247" s="17"/>
      <c r="K247" s="17"/>
      <c r="L247" s="419">
        <f>SUM(L237:L246)</f>
        <v>200000000</v>
      </c>
      <c r="M247" s="17"/>
      <c r="N247" s="129"/>
      <c r="O247" s="286">
        <f>155000000-L247</f>
        <v>-45000000</v>
      </c>
    </row>
    <row r="248" spans="2:14" ht="14.25">
      <c r="B248" s="196"/>
      <c r="C248" s="196"/>
      <c r="D248" s="85"/>
      <c r="E248" s="197">
        <v>80000000</v>
      </c>
      <c r="F248" s="14"/>
      <c r="G248" s="15"/>
      <c r="H248" s="16"/>
      <c r="I248" s="17"/>
      <c r="J248" s="17"/>
      <c r="K248" s="17"/>
      <c r="L248" s="419"/>
      <c r="M248" s="17"/>
      <c r="N248" s="129"/>
    </row>
    <row r="249" spans="2:14" ht="16.5">
      <c r="B249" s="196"/>
      <c r="C249" s="196"/>
      <c r="D249" s="85"/>
      <c r="E249" s="197"/>
      <c r="F249" s="102" t="s">
        <v>746</v>
      </c>
      <c r="G249" s="10"/>
      <c r="H249" s="11"/>
      <c r="I249" s="12"/>
      <c r="J249" s="12"/>
      <c r="K249" s="12"/>
      <c r="L249" s="420">
        <f>L409*1</f>
        <v>799999999.9999999</v>
      </c>
      <c r="M249" s="17"/>
      <c r="N249" s="129"/>
    </row>
    <row r="250" spans="1:14" ht="16.5">
      <c r="A250" t="s">
        <v>585</v>
      </c>
      <c r="B250" s="196"/>
      <c r="C250" s="196"/>
      <c r="D250" s="198"/>
      <c r="E250" s="199" t="s">
        <v>1368</v>
      </c>
      <c r="F250" s="33" t="s">
        <v>747</v>
      </c>
      <c r="G250" s="34" t="s">
        <v>748</v>
      </c>
      <c r="H250" s="581">
        <v>4</v>
      </c>
      <c r="I250">
        <v>9457.48</v>
      </c>
      <c r="J250" s="36">
        <f>(32213.2/2)</f>
        <v>16106.6</v>
      </c>
      <c r="K250" s="17">
        <f>I250*H250</f>
        <v>37829.92</v>
      </c>
      <c r="L250" s="419">
        <f aca="true" t="shared" si="13" ref="L250:L281">H250*I250</f>
        <v>37829.92</v>
      </c>
      <c r="M250" s="105"/>
      <c r="N250" s="316">
        <v>630000000</v>
      </c>
    </row>
    <row r="251" spans="1:15" ht="14.25">
      <c r="A251" t="s">
        <v>585</v>
      </c>
      <c r="B251" s="196">
        <v>1</v>
      </c>
      <c r="C251" s="196">
        <v>2</v>
      </c>
      <c r="D251" s="205">
        <v>20</v>
      </c>
      <c r="E251" s="206">
        <v>445940</v>
      </c>
      <c r="F251" s="33" t="s">
        <v>586</v>
      </c>
      <c r="G251" s="34" t="s">
        <v>748</v>
      </c>
      <c r="H251" s="581">
        <v>3</v>
      </c>
      <c r="I251">
        <v>38213.88</v>
      </c>
      <c r="J251" s="36">
        <f>(70674.16/2)</f>
        <v>35337.08</v>
      </c>
      <c r="K251" s="17">
        <f>I251*H251</f>
        <v>114641.63999999998</v>
      </c>
      <c r="L251" s="419">
        <f t="shared" si="13"/>
        <v>114641.63999999998</v>
      </c>
      <c r="M251" s="17"/>
      <c r="N251" s="129"/>
      <c r="O251">
        <v>2</v>
      </c>
    </row>
    <row r="252" spans="1:14" ht="15">
      <c r="A252" t="s">
        <v>1070</v>
      </c>
      <c r="B252" s="196">
        <v>1</v>
      </c>
      <c r="C252" s="196">
        <v>2</v>
      </c>
      <c r="D252" s="205">
        <v>10</v>
      </c>
      <c r="E252" s="206">
        <v>381294.5</v>
      </c>
      <c r="F252" s="33" t="s">
        <v>749</v>
      </c>
      <c r="G252" s="34" t="s">
        <v>748</v>
      </c>
      <c r="H252" s="581">
        <v>50</v>
      </c>
      <c r="I252" s="276">
        <v>21707.05</v>
      </c>
      <c r="J252" s="36">
        <f>(40574.48/2)</f>
        <v>20287.24</v>
      </c>
      <c r="K252" s="17">
        <f>I252*H252</f>
        <v>1085352.5</v>
      </c>
      <c r="L252" s="419">
        <f t="shared" si="13"/>
        <v>1085352.5</v>
      </c>
      <c r="M252" s="17"/>
      <c r="N252" s="129"/>
    </row>
    <row r="253" spans="1:14" ht="15">
      <c r="A253" t="s">
        <v>1073</v>
      </c>
      <c r="B253" s="196">
        <v>1</v>
      </c>
      <c r="C253" s="196">
        <v>2</v>
      </c>
      <c r="D253" s="207">
        <v>1000</v>
      </c>
      <c r="E253" s="206">
        <v>242460</v>
      </c>
      <c r="F253" s="33" t="s">
        <v>1379</v>
      </c>
      <c r="G253" s="37" t="s">
        <v>751</v>
      </c>
      <c r="H253" s="581">
        <v>200</v>
      </c>
      <c r="I253" s="276">
        <v>163.84</v>
      </c>
      <c r="J253" s="36">
        <v>502</v>
      </c>
      <c r="K253" s="39"/>
      <c r="L253" s="419">
        <f t="shared" si="13"/>
        <v>32768</v>
      </c>
      <c r="M253" s="17"/>
      <c r="N253" s="129"/>
    </row>
    <row r="254" spans="1:19" ht="15">
      <c r="A254" t="s">
        <v>1072</v>
      </c>
      <c r="B254" s="196">
        <v>1</v>
      </c>
      <c r="C254" s="196">
        <v>2</v>
      </c>
      <c r="D254" s="205">
        <v>30</v>
      </c>
      <c r="E254" s="206">
        <v>651211.5</v>
      </c>
      <c r="F254" s="33" t="s">
        <v>1071</v>
      </c>
      <c r="G254" s="37" t="s">
        <v>748</v>
      </c>
      <c r="H254" s="581">
        <v>500</v>
      </c>
      <c r="I254" s="276">
        <v>163.56</v>
      </c>
      <c r="J254" s="36">
        <v>153.12</v>
      </c>
      <c r="K254" s="39">
        <v>42804</v>
      </c>
      <c r="L254" s="419">
        <f t="shared" si="13"/>
        <v>81780</v>
      </c>
      <c r="M254" s="17"/>
      <c r="N254" s="129"/>
      <c r="Q254" s="513">
        <v>2</v>
      </c>
      <c r="R254" s="513">
        <v>360</v>
      </c>
      <c r="S254" s="513">
        <f>+Q254*R254</f>
        <v>720</v>
      </c>
    </row>
    <row r="255" spans="1:14" ht="14.25">
      <c r="A255" t="s">
        <v>1444</v>
      </c>
      <c r="B255" s="196">
        <v>1</v>
      </c>
      <c r="C255" s="196">
        <v>2</v>
      </c>
      <c r="D255" s="207">
        <v>900</v>
      </c>
      <c r="E255" s="206">
        <v>1034415</v>
      </c>
      <c r="F255" s="33" t="s">
        <v>1443</v>
      </c>
      <c r="G255" s="37" t="s">
        <v>649</v>
      </c>
      <c r="H255" s="167">
        <v>34</v>
      </c>
      <c r="I255" s="299">
        <v>302.76</v>
      </c>
      <c r="J255" s="36">
        <v>486.04</v>
      </c>
      <c r="K255" s="39"/>
      <c r="L255" s="419">
        <f t="shared" si="13"/>
        <v>10293.84</v>
      </c>
      <c r="M255" s="17"/>
      <c r="N255" s="129"/>
    </row>
    <row r="256" spans="1:14" ht="15">
      <c r="A256" t="s">
        <v>1286</v>
      </c>
      <c r="B256" s="196">
        <v>1</v>
      </c>
      <c r="C256" s="196">
        <v>2</v>
      </c>
      <c r="D256" s="207">
        <v>64</v>
      </c>
      <c r="E256" s="206">
        <v>10485.76</v>
      </c>
      <c r="F256" s="33" t="s">
        <v>750</v>
      </c>
      <c r="G256" s="37" t="s">
        <v>751</v>
      </c>
      <c r="H256" s="581">
        <v>2500</v>
      </c>
      <c r="I256" s="726">
        <v>508.89</v>
      </c>
      <c r="J256" s="36">
        <f>(951200/2000)</f>
        <v>475.6</v>
      </c>
      <c r="K256" s="39">
        <v>958160</v>
      </c>
      <c r="L256" s="419">
        <f t="shared" si="13"/>
        <v>1272225</v>
      </c>
      <c r="M256" s="17"/>
      <c r="N256" s="129"/>
    </row>
    <row r="257" spans="1:19" ht="14.25">
      <c r="A257" t="s">
        <v>1074</v>
      </c>
      <c r="B257" s="196">
        <v>1</v>
      </c>
      <c r="C257" s="196">
        <v>2</v>
      </c>
      <c r="D257" s="207">
        <v>2002</v>
      </c>
      <c r="E257" s="206">
        <v>1018797.78</v>
      </c>
      <c r="F257" s="33" t="s">
        <v>752</v>
      </c>
      <c r="G257" s="37" t="s">
        <v>649</v>
      </c>
      <c r="H257" s="595">
        <v>259</v>
      </c>
      <c r="I257" s="299">
        <v>190.24</v>
      </c>
      <c r="J257" s="36">
        <f>(83067.6/465)</f>
        <v>178.64000000000001</v>
      </c>
      <c r="K257" s="39">
        <v>102486</v>
      </c>
      <c r="L257" s="419">
        <f t="shared" si="13"/>
        <v>49272.16</v>
      </c>
      <c r="M257" s="17"/>
      <c r="N257" s="129"/>
      <c r="Q257" s="513">
        <v>20</v>
      </c>
      <c r="R257" s="513">
        <v>240</v>
      </c>
      <c r="S257" s="513">
        <f>+Q257*R257</f>
        <v>4800</v>
      </c>
    </row>
    <row r="258" spans="1:14" ht="14.25">
      <c r="A258" t="s">
        <v>1287</v>
      </c>
      <c r="B258" s="196">
        <v>1</v>
      </c>
      <c r="C258" s="196">
        <v>2</v>
      </c>
      <c r="D258" s="207">
        <v>1500</v>
      </c>
      <c r="E258" s="206">
        <v>353745</v>
      </c>
      <c r="F258" s="33" t="s">
        <v>753</v>
      </c>
      <c r="G258" s="37" t="s">
        <v>649</v>
      </c>
      <c r="H258" s="705">
        <v>1500</v>
      </c>
      <c r="I258" s="727">
        <v>1330.52</v>
      </c>
      <c r="J258" s="36">
        <v>1330.52</v>
      </c>
      <c r="K258" s="39">
        <v>301548.96</v>
      </c>
      <c r="L258" s="419">
        <f t="shared" si="13"/>
        <v>1995780</v>
      </c>
      <c r="M258" s="17"/>
      <c r="N258" s="129"/>
    </row>
    <row r="259" spans="1:14" ht="14.25">
      <c r="A259" t="s">
        <v>1093</v>
      </c>
      <c r="B259" s="196">
        <v>1</v>
      </c>
      <c r="C259" s="196">
        <v>2</v>
      </c>
      <c r="D259" s="207">
        <v>0</v>
      </c>
      <c r="E259" s="206">
        <v>0</v>
      </c>
      <c r="F259" s="33" t="s">
        <v>1094</v>
      </c>
      <c r="G259" s="37" t="s">
        <v>748</v>
      </c>
      <c r="H259" s="708">
        <v>100</v>
      </c>
      <c r="I259" s="727">
        <f>(7095*1.16)</f>
        <v>8230.199999999999</v>
      </c>
      <c r="J259" s="36">
        <f>(7095*1.16)</f>
        <v>8230.199999999999</v>
      </c>
      <c r="K259" s="39">
        <f>I259*H259</f>
        <v>823019.9999999999</v>
      </c>
      <c r="L259" s="419">
        <f t="shared" si="13"/>
        <v>823019.9999999999</v>
      </c>
      <c r="M259" s="17"/>
      <c r="N259" s="129"/>
    </row>
    <row r="260" spans="1:14" ht="14.25">
      <c r="A260" t="s">
        <v>1292</v>
      </c>
      <c r="B260" s="196">
        <v>1</v>
      </c>
      <c r="C260" s="196">
        <v>2</v>
      </c>
      <c r="D260" s="207">
        <v>1296</v>
      </c>
      <c r="E260" s="206">
        <v>1724353.92</v>
      </c>
      <c r="F260" s="33" t="s">
        <v>666</v>
      </c>
      <c r="G260" s="37" t="s">
        <v>649</v>
      </c>
      <c r="H260" s="579">
        <v>6897</v>
      </c>
      <c r="I260">
        <v>2251.56</v>
      </c>
      <c r="J260" s="36">
        <v>1972</v>
      </c>
      <c r="K260" s="39"/>
      <c r="L260" s="419">
        <f t="shared" si="13"/>
        <v>15529009.32</v>
      </c>
      <c r="M260" s="17"/>
      <c r="N260" s="129"/>
    </row>
    <row r="261" spans="1:14" ht="14.25">
      <c r="A261" t="s">
        <v>1292</v>
      </c>
      <c r="B261" s="196">
        <v>1</v>
      </c>
      <c r="C261" s="196">
        <v>2</v>
      </c>
      <c r="D261" s="207">
        <v>3700</v>
      </c>
      <c r="E261" s="206">
        <v>7807148</v>
      </c>
      <c r="F261" s="33" t="s">
        <v>681</v>
      </c>
      <c r="G261" s="37" t="s">
        <v>649</v>
      </c>
      <c r="H261" s="713">
        <v>1293</v>
      </c>
      <c r="I261" s="299">
        <v>2716.24</v>
      </c>
      <c r="J261" s="36">
        <v>5075</v>
      </c>
      <c r="K261" s="39"/>
      <c r="L261" s="419">
        <f t="shared" si="13"/>
        <v>3512098.32</v>
      </c>
      <c r="M261" s="17"/>
      <c r="N261" s="129">
        <f>128*200</f>
        <v>25600</v>
      </c>
    </row>
    <row r="262" spans="1:19" ht="14.25">
      <c r="A262" t="s">
        <v>1075</v>
      </c>
      <c r="B262" s="196">
        <v>1</v>
      </c>
      <c r="C262" s="196">
        <v>2</v>
      </c>
      <c r="D262" s="207">
        <v>60</v>
      </c>
      <c r="E262" s="206">
        <v>174000</v>
      </c>
      <c r="F262" s="117" t="s">
        <v>449</v>
      </c>
      <c r="G262" s="37" t="s">
        <v>649</v>
      </c>
      <c r="H262" s="705">
        <v>700</v>
      </c>
      <c r="I262" s="727">
        <f>31537/100</f>
        <v>315.37</v>
      </c>
      <c r="J262" s="36">
        <v>905</v>
      </c>
      <c r="K262" s="39"/>
      <c r="L262" s="419">
        <f t="shared" si="13"/>
        <v>220759</v>
      </c>
      <c r="M262" s="17"/>
      <c r="N262" s="129"/>
      <c r="Q262" s="513">
        <v>200</v>
      </c>
      <c r="R262" s="513">
        <v>360</v>
      </c>
      <c r="S262" s="513">
        <f>+Q262*R262</f>
        <v>72000</v>
      </c>
    </row>
    <row r="263" spans="1:19" ht="14.25">
      <c r="A263" t="s">
        <v>1075</v>
      </c>
      <c r="B263" s="196">
        <v>1</v>
      </c>
      <c r="C263" s="196">
        <v>2</v>
      </c>
      <c r="D263" s="207">
        <v>2000</v>
      </c>
      <c r="E263" s="206">
        <v>7200000</v>
      </c>
      <c r="F263" s="33" t="s">
        <v>447</v>
      </c>
      <c r="G263" s="37"/>
      <c r="H263" s="579">
        <v>14241</v>
      </c>
      <c r="I263">
        <v>518.52</v>
      </c>
      <c r="J263" s="36">
        <v>110</v>
      </c>
      <c r="K263" s="39"/>
      <c r="L263" s="419">
        <f t="shared" si="13"/>
        <v>7384243.319999999</v>
      </c>
      <c r="M263" s="17"/>
      <c r="N263" s="129"/>
      <c r="Q263" s="513">
        <v>200</v>
      </c>
      <c r="R263" s="513">
        <v>900</v>
      </c>
      <c r="S263" s="513">
        <f>+Q263*R263</f>
        <v>180000</v>
      </c>
    </row>
    <row r="264" spans="1:14" ht="15">
      <c r="A264" t="s">
        <v>1076</v>
      </c>
      <c r="B264" s="196">
        <v>1</v>
      </c>
      <c r="C264" s="196">
        <v>2</v>
      </c>
      <c r="D264" s="207">
        <v>4000</v>
      </c>
      <c r="E264" s="206">
        <v>1633600</v>
      </c>
      <c r="F264" s="33" t="s">
        <v>686</v>
      </c>
      <c r="G264" s="37" t="s">
        <v>649</v>
      </c>
      <c r="H264" s="595">
        <v>24000</v>
      </c>
      <c r="I264" s="276">
        <v>113.21</v>
      </c>
      <c r="J264" s="36">
        <v>111.36</v>
      </c>
      <c r="K264" s="39">
        <f>I264*H264</f>
        <v>2717040</v>
      </c>
      <c r="L264" s="419">
        <f t="shared" si="13"/>
        <v>2717040</v>
      </c>
      <c r="M264" s="17"/>
      <c r="N264" s="129"/>
    </row>
    <row r="265" spans="1:14" ht="14.25">
      <c r="A265" t="s">
        <v>1076</v>
      </c>
      <c r="B265" s="196">
        <v>1</v>
      </c>
      <c r="C265" s="196">
        <v>2</v>
      </c>
      <c r="D265" s="207">
        <v>22000</v>
      </c>
      <c r="E265" s="206">
        <v>2490620</v>
      </c>
      <c r="F265" s="661" t="s">
        <v>687</v>
      </c>
      <c r="G265" s="37" t="s">
        <v>649</v>
      </c>
      <c r="H265" s="709">
        <v>1552</v>
      </c>
      <c r="I265" s="299">
        <v>316.68</v>
      </c>
      <c r="J265" s="36">
        <v>328.28</v>
      </c>
      <c r="K265" s="39">
        <v>510655.2</v>
      </c>
      <c r="L265" s="419">
        <f t="shared" si="13"/>
        <v>491487.36</v>
      </c>
      <c r="M265" s="17"/>
      <c r="N265" s="129"/>
    </row>
    <row r="266" spans="1:14" ht="15">
      <c r="A266" t="s">
        <v>1078</v>
      </c>
      <c r="B266" s="196">
        <v>1</v>
      </c>
      <c r="C266" s="196">
        <v>2</v>
      </c>
      <c r="D266" s="207">
        <v>20</v>
      </c>
      <c r="E266" s="206">
        <v>187000</v>
      </c>
      <c r="F266" s="33" t="s">
        <v>1380</v>
      </c>
      <c r="G266" s="37" t="s">
        <v>649</v>
      </c>
      <c r="H266" s="404">
        <v>300</v>
      </c>
      <c r="I266" s="276">
        <v>1853</v>
      </c>
      <c r="J266" s="36">
        <v>1853</v>
      </c>
      <c r="K266" s="39"/>
      <c r="L266" s="419">
        <f t="shared" si="13"/>
        <v>555900</v>
      </c>
      <c r="M266" s="17"/>
      <c r="N266" s="129"/>
    </row>
    <row r="267" spans="1:14" ht="15">
      <c r="A267" t="s">
        <v>1077</v>
      </c>
      <c r="B267" s="196">
        <v>1</v>
      </c>
      <c r="C267" s="196">
        <v>2</v>
      </c>
      <c r="D267" s="207">
        <v>483</v>
      </c>
      <c r="E267" s="206">
        <v>152323.71</v>
      </c>
      <c r="F267" s="597" t="s">
        <v>357</v>
      </c>
      <c r="G267" s="37"/>
      <c r="H267" s="404">
        <v>550</v>
      </c>
      <c r="I267" s="276">
        <f>(3900*1.16)/10</f>
        <v>452.4</v>
      </c>
      <c r="J267" s="36">
        <f>3900*1.16</f>
        <v>4524</v>
      </c>
      <c r="K267" s="39"/>
      <c r="L267" s="419">
        <f t="shared" si="13"/>
        <v>248820</v>
      </c>
      <c r="M267" s="17"/>
      <c r="N267" s="129"/>
    </row>
    <row r="268" spans="1:14" ht="14.25">
      <c r="A268" t="s">
        <v>1077</v>
      </c>
      <c r="B268" s="196">
        <v>1</v>
      </c>
      <c r="C268" s="196">
        <v>2</v>
      </c>
      <c r="D268" s="207">
        <v>1000</v>
      </c>
      <c r="E268" s="206">
        <v>359950</v>
      </c>
      <c r="F268" s="117" t="s">
        <v>1378</v>
      </c>
      <c r="G268" s="37" t="s">
        <v>649</v>
      </c>
      <c r="H268" s="579">
        <v>69</v>
      </c>
      <c r="I268">
        <v>5568</v>
      </c>
      <c r="J268" s="36">
        <v>2900</v>
      </c>
      <c r="K268" s="39"/>
      <c r="L268" s="419">
        <f t="shared" si="13"/>
        <v>384192</v>
      </c>
      <c r="M268" s="17"/>
      <c r="N268" s="129"/>
    </row>
    <row r="269" spans="1:14" ht="15">
      <c r="A269" t="s">
        <v>1077</v>
      </c>
      <c r="B269" s="196">
        <v>1</v>
      </c>
      <c r="C269" s="196">
        <v>2</v>
      </c>
      <c r="D269" s="207">
        <v>371</v>
      </c>
      <c r="E269" s="206">
        <v>167840.4</v>
      </c>
      <c r="F269" s="117" t="s">
        <v>289</v>
      </c>
      <c r="G269" s="37"/>
      <c r="H269" s="568">
        <v>50</v>
      </c>
      <c r="I269" s="726">
        <v>9350</v>
      </c>
      <c r="J269" s="36">
        <v>9350</v>
      </c>
      <c r="K269" s="39"/>
      <c r="L269" s="419">
        <f t="shared" si="13"/>
        <v>467500</v>
      </c>
      <c r="M269" s="17"/>
      <c r="N269" s="129"/>
    </row>
    <row r="270" spans="1:14" ht="14.25">
      <c r="A270" t="s">
        <v>1080</v>
      </c>
      <c r="B270" s="196"/>
      <c r="C270" s="196"/>
      <c r="D270" s="207">
        <v>200</v>
      </c>
      <c r="E270" s="206">
        <v>746000</v>
      </c>
      <c r="F270" s="117" t="s">
        <v>67</v>
      </c>
      <c r="G270" s="37"/>
      <c r="H270" s="518">
        <v>345</v>
      </c>
      <c r="I270" s="519">
        <v>1044</v>
      </c>
      <c r="J270" s="36"/>
      <c r="K270" s="39"/>
      <c r="L270" s="419">
        <f t="shared" si="13"/>
        <v>360180</v>
      </c>
      <c r="M270" s="17"/>
      <c r="N270" s="129"/>
    </row>
    <row r="271" spans="1:14" ht="15" thickBot="1">
      <c r="A271" t="s">
        <v>1288</v>
      </c>
      <c r="B271" s="196">
        <v>1</v>
      </c>
      <c r="C271" s="196">
        <v>2</v>
      </c>
      <c r="D271" s="207">
        <v>120</v>
      </c>
      <c r="E271" s="206">
        <v>222360</v>
      </c>
      <c r="F271" s="117" t="s">
        <v>441</v>
      </c>
      <c r="G271" s="37" t="s">
        <v>649</v>
      </c>
      <c r="H271" s="518">
        <v>43</v>
      </c>
      <c r="I271" s="519">
        <v>2436</v>
      </c>
      <c r="J271" s="36">
        <f>(14000*1.16)</f>
        <v>16239.999999999998</v>
      </c>
      <c r="K271" s="39"/>
      <c r="L271" s="419">
        <f t="shared" si="13"/>
        <v>104748</v>
      </c>
      <c r="M271" s="17"/>
      <c r="N271" s="129"/>
    </row>
    <row r="272" spans="1:19" ht="15" thickBot="1">
      <c r="A272" t="s">
        <v>1288</v>
      </c>
      <c r="B272" s="196"/>
      <c r="C272" s="196"/>
      <c r="D272" s="207">
        <v>60</v>
      </c>
      <c r="E272" s="206">
        <v>228000</v>
      </c>
      <c r="F272" s="117" t="s">
        <v>1453</v>
      </c>
      <c r="G272" s="37"/>
      <c r="H272" s="706">
        <v>39</v>
      </c>
      <c r="I272" s="728">
        <v>6032</v>
      </c>
      <c r="J272" s="36"/>
      <c r="K272" s="39"/>
      <c r="L272" s="419">
        <f t="shared" si="13"/>
        <v>235248</v>
      </c>
      <c r="M272" s="17"/>
      <c r="N272" s="129"/>
      <c r="Q272" s="502">
        <v>5</v>
      </c>
      <c r="R272" s="502">
        <v>11000</v>
      </c>
      <c r="S272" s="502">
        <f>+Q272*R272</f>
        <v>55000</v>
      </c>
    </row>
    <row r="273" spans="1:15" ht="15" thickBot="1">
      <c r="A273" t="s">
        <v>1080</v>
      </c>
      <c r="B273" s="196">
        <v>1</v>
      </c>
      <c r="C273" s="196">
        <v>2</v>
      </c>
      <c r="D273" s="207">
        <v>585</v>
      </c>
      <c r="E273" s="206">
        <v>950040</v>
      </c>
      <c r="F273" s="117" t="s">
        <v>1452</v>
      </c>
      <c r="G273" s="37"/>
      <c r="H273" s="714">
        <v>129</v>
      </c>
      <c r="I273" s="299">
        <v>2784</v>
      </c>
      <c r="J273" s="36"/>
      <c r="K273" s="39"/>
      <c r="L273" s="419">
        <f t="shared" si="13"/>
        <v>359136</v>
      </c>
      <c r="M273" s="17"/>
      <c r="N273" s="129">
        <v>278.4</v>
      </c>
      <c r="O273">
        <f>4000*I272</f>
        <v>24128000</v>
      </c>
    </row>
    <row r="274" spans="1:19" ht="14.25">
      <c r="A274" t="s">
        <v>1079</v>
      </c>
      <c r="B274" s="196"/>
      <c r="C274" s="196"/>
      <c r="D274" s="207">
        <v>1000</v>
      </c>
      <c r="E274" s="206">
        <v>1418158</v>
      </c>
      <c r="F274" s="117" t="s">
        <v>1661</v>
      </c>
      <c r="H274" s="580">
        <v>603</v>
      </c>
      <c r="I274" s="519">
        <v>1044</v>
      </c>
      <c r="J274" s="36">
        <f>199*1.16</f>
        <v>230.83999999999997</v>
      </c>
      <c r="K274" s="39"/>
      <c r="L274" s="419">
        <f t="shared" si="13"/>
        <v>629532</v>
      </c>
      <c r="M274" s="17"/>
      <c r="N274" s="129"/>
      <c r="Q274" s="503">
        <v>20</v>
      </c>
      <c r="R274" s="503">
        <v>3600</v>
      </c>
      <c r="S274" s="504">
        <f>+Q274*R274</f>
        <v>72000</v>
      </c>
    </row>
    <row r="275" spans="1:14" ht="15">
      <c r="A275" t="s">
        <v>1079</v>
      </c>
      <c r="B275" s="695">
        <v>1</v>
      </c>
      <c r="C275" s="695">
        <v>2</v>
      </c>
      <c r="D275" s="659">
        <v>8000</v>
      </c>
      <c r="E275" s="697">
        <v>1846720</v>
      </c>
      <c r="F275" s="117" t="s">
        <v>1187</v>
      </c>
      <c r="G275" s="37"/>
      <c r="H275" s="568">
        <v>400</v>
      </c>
      <c r="I275" s="726">
        <v>2100</v>
      </c>
      <c r="J275" s="36">
        <f>199*1.16</f>
        <v>230.83999999999997</v>
      </c>
      <c r="K275" s="39"/>
      <c r="L275" s="419">
        <f t="shared" si="13"/>
        <v>840000</v>
      </c>
      <c r="M275" s="17"/>
      <c r="N275" s="129"/>
    </row>
    <row r="276" spans="1:19" ht="15">
      <c r="A276" s="402" t="s">
        <v>1289</v>
      </c>
      <c r="B276" s="196"/>
      <c r="C276" s="196"/>
      <c r="D276" s="207">
        <v>100</v>
      </c>
      <c r="E276" s="206">
        <v>820000</v>
      </c>
      <c r="F276" s="117" t="s">
        <v>405</v>
      </c>
      <c r="G276" s="37"/>
      <c r="H276" s="568">
        <v>4000</v>
      </c>
      <c r="I276" s="726">
        <v>278.4</v>
      </c>
      <c r="J276" s="36">
        <f>199*1.16</f>
        <v>230.83999999999997</v>
      </c>
      <c r="K276" s="39"/>
      <c r="L276" s="419">
        <f t="shared" si="13"/>
        <v>1113600</v>
      </c>
      <c r="M276" s="17"/>
      <c r="N276" s="129"/>
      <c r="Q276" s="513">
        <v>3</v>
      </c>
      <c r="R276" s="513">
        <v>57600</v>
      </c>
      <c r="S276" s="513">
        <f>+Q276*R276</f>
        <v>172800</v>
      </c>
    </row>
    <row r="277" spans="1:19" ht="14.25">
      <c r="A277" s="409" t="s">
        <v>1088</v>
      </c>
      <c r="B277" s="196">
        <v>1</v>
      </c>
      <c r="C277" s="196">
        <v>2</v>
      </c>
      <c r="D277" s="207">
        <v>0</v>
      </c>
      <c r="E277" s="206">
        <v>0</v>
      </c>
      <c r="F277" s="700" t="s">
        <v>983</v>
      </c>
      <c r="G277" s="95" t="s">
        <v>1054</v>
      </c>
      <c r="H277" s="628">
        <v>40</v>
      </c>
      <c r="I277" s="730">
        <v>498.8</v>
      </c>
      <c r="J277" s="17"/>
      <c r="K277" s="17"/>
      <c r="L277" s="419">
        <f t="shared" si="13"/>
        <v>19952</v>
      </c>
      <c r="M277" s="17"/>
      <c r="N277" s="129"/>
      <c r="Q277" s="513">
        <v>20</v>
      </c>
      <c r="R277" s="513">
        <v>12000</v>
      </c>
      <c r="S277" s="513">
        <f>+Q277*R277</f>
        <v>240000</v>
      </c>
    </row>
    <row r="278" spans="1:19" ht="14.25">
      <c r="A278" t="s">
        <v>1082</v>
      </c>
      <c r="B278" s="409"/>
      <c r="C278" s="409"/>
      <c r="D278" s="696">
        <v>1000</v>
      </c>
      <c r="E278" s="698">
        <v>950000</v>
      </c>
      <c r="F278" s="33" t="s">
        <v>762</v>
      </c>
      <c r="G278" s="37" t="s">
        <v>649</v>
      </c>
      <c r="H278" s="580">
        <v>172</v>
      </c>
      <c r="I278">
        <v>53360</v>
      </c>
      <c r="J278" s="36">
        <v>68440</v>
      </c>
      <c r="K278" s="39">
        <v>11524020</v>
      </c>
      <c r="L278" s="419">
        <f t="shared" si="13"/>
        <v>9177920</v>
      </c>
      <c r="M278" s="299"/>
      <c r="N278" s="129"/>
      <c r="Q278" s="513"/>
      <c r="R278" s="513"/>
      <c r="S278" s="513"/>
    </row>
    <row r="279" spans="1:19" ht="14.25">
      <c r="A279" s="693" t="s">
        <v>1618</v>
      </c>
      <c r="B279" s="196">
        <v>1</v>
      </c>
      <c r="C279" s="196">
        <v>2</v>
      </c>
      <c r="D279" s="207">
        <v>35</v>
      </c>
      <c r="E279" s="206">
        <v>2552025</v>
      </c>
      <c r="F279" s="703" t="s">
        <v>1617</v>
      </c>
      <c r="G279" s="37" t="s">
        <v>649</v>
      </c>
      <c r="H279" s="711">
        <v>4</v>
      </c>
      <c r="I279" s="299">
        <v>66700</v>
      </c>
      <c r="J279" s="36"/>
      <c r="K279" s="39"/>
      <c r="L279" s="419">
        <f t="shared" si="13"/>
        <v>266800</v>
      </c>
      <c r="M279" s="17"/>
      <c r="N279" s="129"/>
      <c r="Q279" s="513">
        <v>5</v>
      </c>
      <c r="R279" s="513">
        <v>14400</v>
      </c>
      <c r="S279" s="513">
        <f>+Q279*R279</f>
        <v>72000</v>
      </c>
    </row>
    <row r="280" spans="1:14" ht="14.25">
      <c r="A280" s="132" t="s">
        <v>1660</v>
      </c>
      <c r="B280" s="196">
        <v>1</v>
      </c>
      <c r="C280" s="196">
        <v>2</v>
      </c>
      <c r="D280" s="207">
        <v>750</v>
      </c>
      <c r="E280" s="206">
        <v>14584117.500000002</v>
      </c>
      <c r="F280" s="701" t="s">
        <v>1659</v>
      </c>
      <c r="G280" s="37" t="s">
        <v>649</v>
      </c>
      <c r="H280" s="709">
        <v>10</v>
      </c>
      <c r="I280" s="299">
        <v>17574</v>
      </c>
      <c r="J280" s="36"/>
      <c r="K280" s="39"/>
      <c r="L280" s="419">
        <f t="shared" si="13"/>
        <v>175740</v>
      </c>
      <c r="M280" s="17"/>
      <c r="N280" s="129"/>
    </row>
    <row r="281" spans="1:14" ht="14.25">
      <c r="A281" t="s">
        <v>1083</v>
      </c>
      <c r="B281" s="196"/>
      <c r="C281" s="196"/>
      <c r="D281" s="207"/>
      <c r="E281" s="206"/>
      <c r="F281" s="33" t="s">
        <v>1446</v>
      </c>
      <c r="G281" s="37" t="s">
        <v>649</v>
      </c>
      <c r="H281" s="709">
        <v>603</v>
      </c>
      <c r="I281" s="728">
        <v>10672</v>
      </c>
      <c r="J281" s="36"/>
      <c r="K281" s="39"/>
      <c r="L281" s="419">
        <f t="shared" si="13"/>
        <v>6435216</v>
      </c>
      <c r="M281" s="17"/>
      <c r="N281" s="129"/>
    </row>
    <row r="282" spans="1:14" ht="15">
      <c r="A282" t="s">
        <v>1083</v>
      </c>
      <c r="B282" s="196">
        <v>1</v>
      </c>
      <c r="C282" s="196">
        <v>2</v>
      </c>
      <c r="D282" s="207">
        <v>200</v>
      </c>
      <c r="E282" s="206">
        <v>16533846</v>
      </c>
      <c r="F282" s="33" t="s">
        <v>763</v>
      </c>
      <c r="G282" s="37" t="s">
        <v>649</v>
      </c>
      <c r="H282" s="582">
        <v>862</v>
      </c>
      <c r="I282">
        <v>8932</v>
      </c>
      <c r="J282" s="36">
        <v>11020</v>
      </c>
      <c r="K282" s="39">
        <v>4916718</v>
      </c>
      <c r="L282" s="419">
        <f aca="true" t="shared" si="14" ref="L282:L313">H282*I282</f>
        <v>7699384</v>
      </c>
      <c r="M282" s="17"/>
      <c r="N282" s="129"/>
    </row>
    <row r="283" spans="1:14" ht="15">
      <c r="A283" t="s">
        <v>1083</v>
      </c>
      <c r="B283" s="196">
        <v>1</v>
      </c>
      <c r="C283" s="196">
        <v>2</v>
      </c>
      <c r="D283" s="207">
        <v>750</v>
      </c>
      <c r="E283" s="206">
        <v>14584117.500000002</v>
      </c>
      <c r="F283" s="33" t="s">
        <v>764</v>
      </c>
      <c r="G283" s="37" t="s">
        <v>649</v>
      </c>
      <c r="H283" s="404">
        <v>800</v>
      </c>
      <c r="I283" s="726">
        <v>14019.35</v>
      </c>
      <c r="J283" s="36">
        <v>11600</v>
      </c>
      <c r="K283" s="39">
        <v>3702720</v>
      </c>
      <c r="L283" s="419">
        <f t="shared" si="14"/>
        <v>11215480</v>
      </c>
      <c r="M283" s="17"/>
      <c r="N283" s="129"/>
    </row>
    <row r="284" spans="1:14" ht="14.25">
      <c r="A284" s="409" t="s">
        <v>1083</v>
      </c>
      <c r="B284" s="196">
        <v>1</v>
      </c>
      <c r="C284" s="196">
        <v>2</v>
      </c>
      <c r="D284" s="207">
        <v>700</v>
      </c>
      <c r="E284" s="206">
        <v>9813545</v>
      </c>
      <c r="F284" s="702" t="s">
        <v>1472</v>
      </c>
      <c r="G284" s="37" t="s">
        <v>649</v>
      </c>
      <c r="H284" s="710">
        <v>400</v>
      </c>
      <c r="I284" s="727">
        <v>30409.4</v>
      </c>
      <c r="J284" s="36">
        <v>28420</v>
      </c>
      <c r="K284" s="39">
        <v>3810000</v>
      </c>
      <c r="L284" s="419">
        <f t="shared" si="14"/>
        <v>12163760</v>
      </c>
      <c r="M284" s="17"/>
      <c r="N284" s="129"/>
    </row>
    <row r="285" spans="1:14" ht="15">
      <c r="A285" t="s">
        <v>1084</v>
      </c>
      <c r="B285" s="196">
        <v>1</v>
      </c>
      <c r="C285" s="196">
        <v>2</v>
      </c>
      <c r="D285" s="207">
        <v>300</v>
      </c>
      <c r="E285" s="206">
        <v>9122820</v>
      </c>
      <c r="F285" s="33" t="s">
        <v>765</v>
      </c>
      <c r="G285" s="37" t="s">
        <v>649</v>
      </c>
      <c r="H285" s="595">
        <v>300</v>
      </c>
      <c r="I285" s="276">
        <v>6442.64</v>
      </c>
      <c r="J285" s="36">
        <v>6442.64</v>
      </c>
      <c r="K285" s="39">
        <f>I285*H285</f>
        <v>1932792</v>
      </c>
      <c r="L285" s="419">
        <f t="shared" si="14"/>
        <v>1932792</v>
      </c>
      <c r="M285" s="17"/>
      <c r="N285" s="129"/>
    </row>
    <row r="286" spans="1:14" ht="14.25">
      <c r="A286" t="s">
        <v>1083</v>
      </c>
      <c r="B286" s="196">
        <v>1</v>
      </c>
      <c r="C286" s="196">
        <v>2</v>
      </c>
      <c r="D286" s="207">
        <v>200</v>
      </c>
      <c r="E286" s="206">
        <v>1288528</v>
      </c>
      <c r="F286" s="33" t="s">
        <v>688</v>
      </c>
      <c r="G286" s="37" t="s">
        <v>649</v>
      </c>
      <c r="H286" s="707">
        <v>155</v>
      </c>
      <c r="I286" s="299">
        <v>46571.68</v>
      </c>
      <c r="J286" s="36">
        <f>(30820.04+55000)/2*1.16</f>
        <v>49775.6232</v>
      </c>
      <c r="K286" s="39">
        <v>1956000</v>
      </c>
      <c r="L286" s="419">
        <f t="shared" si="14"/>
        <v>7218610.4</v>
      </c>
      <c r="M286" s="17"/>
      <c r="N286" s="129"/>
    </row>
    <row r="287" spans="1:14" ht="14.25">
      <c r="A287" t="s">
        <v>1083</v>
      </c>
      <c r="B287" s="196">
        <v>1</v>
      </c>
      <c r="C287" s="196">
        <v>2</v>
      </c>
      <c r="D287" s="207">
        <v>35</v>
      </c>
      <c r="E287" s="206">
        <v>2552025</v>
      </c>
      <c r="F287" s="33" t="s">
        <v>1445</v>
      </c>
      <c r="G287" s="37" t="s">
        <v>649</v>
      </c>
      <c r="H287" s="712">
        <v>10</v>
      </c>
      <c r="I287">
        <v>14384</v>
      </c>
      <c r="J287" s="36"/>
      <c r="K287" s="39"/>
      <c r="L287" s="419">
        <f t="shared" si="14"/>
        <v>143840</v>
      </c>
      <c r="M287" s="17"/>
      <c r="N287" s="129"/>
    </row>
    <row r="288" spans="1:14" ht="14.25">
      <c r="A288" t="s">
        <v>1085</v>
      </c>
      <c r="B288" s="196"/>
      <c r="C288" s="196"/>
      <c r="D288" s="207"/>
      <c r="E288" s="206"/>
      <c r="F288" s="33" t="s">
        <v>766</v>
      </c>
      <c r="G288" s="37" t="s">
        <v>649</v>
      </c>
      <c r="H288" s="127">
        <v>30</v>
      </c>
      <c r="I288" s="36">
        <f>(H288*6%)+H288</f>
        <v>31.8</v>
      </c>
      <c r="J288" s="36">
        <f>(I288*6%)+I288</f>
        <v>33.708</v>
      </c>
      <c r="K288" s="39">
        <v>528525</v>
      </c>
      <c r="L288" s="419">
        <f t="shared" si="14"/>
        <v>954</v>
      </c>
      <c r="M288" s="17"/>
      <c r="N288" s="129"/>
    </row>
    <row r="289" spans="1:14" ht="14.25">
      <c r="A289" t="s">
        <v>1086</v>
      </c>
      <c r="B289" s="196">
        <v>1</v>
      </c>
      <c r="C289" s="196">
        <v>2</v>
      </c>
      <c r="D289" s="207">
        <v>30</v>
      </c>
      <c r="E289" s="206">
        <v>954</v>
      </c>
      <c r="F289" s="33" t="s">
        <v>1592</v>
      </c>
      <c r="G289" s="37"/>
      <c r="H289" s="707">
        <v>26</v>
      </c>
      <c r="I289" s="299">
        <v>1110.12</v>
      </c>
      <c r="J289" s="36">
        <v>1051.656</v>
      </c>
      <c r="K289" s="39"/>
      <c r="L289" s="419">
        <f t="shared" si="14"/>
        <v>28863.119999999995</v>
      </c>
      <c r="M289" s="17"/>
      <c r="N289" s="129"/>
    </row>
    <row r="290" spans="1:14" ht="14.25">
      <c r="A290" t="s">
        <v>1086</v>
      </c>
      <c r="B290" s="196">
        <v>1</v>
      </c>
      <c r="C290" s="196">
        <v>2</v>
      </c>
      <c r="D290" s="207">
        <v>90</v>
      </c>
      <c r="E290" s="206">
        <v>98249.04</v>
      </c>
      <c r="F290" s="33" t="s">
        <v>767</v>
      </c>
      <c r="G290" s="37" t="s">
        <v>649</v>
      </c>
      <c r="H290" s="127">
        <v>23</v>
      </c>
      <c r="I290" s="36">
        <f aca="true" t="shared" si="15" ref="I290:J292">(H290*6%)+H290</f>
        <v>24.38</v>
      </c>
      <c r="J290" s="36">
        <f t="shared" si="15"/>
        <v>25.8428</v>
      </c>
      <c r="K290" s="39">
        <v>69600</v>
      </c>
      <c r="L290" s="419">
        <f t="shared" si="14"/>
        <v>560.74</v>
      </c>
      <c r="M290" s="17"/>
      <c r="N290" s="129"/>
    </row>
    <row r="291" spans="1:14" ht="14.25">
      <c r="A291" t="s">
        <v>1086</v>
      </c>
      <c r="B291" s="196">
        <v>1</v>
      </c>
      <c r="C291" s="196">
        <v>2</v>
      </c>
      <c r="D291" s="207">
        <v>20</v>
      </c>
      <c r="E291" s="206">
        <v>424</v>
      </c>
      <c r="F291" s="33" t="s">
        <v>1602</v>
      </c>
      <c r="G291" s="37" t="s">
        <v>649</v>
      </c>
      <c r="H291" s="708">
        <v>50</v>
      </c>
      <c r="I291" s="727">
        <f t="shared" si="15"/>
        <v>53</v>
      </c>
      <c r="J291" s="36">
        <f t="shared" si="15"/>
        <v>56.18</v>
      </c>
      <c r="K291" s="39">
        <v>796311</v>
      </c>
      <c r="L291" s="419">
        <f t="shared" si="14"/>
        <v>2650</v>
      </c>
      <c r="M291" s="17"/>
      <c r="N291" s="129"/>
    </row>
    <row r="292" spans="1:19" ht="14.25">
      <c r="A292" t="s">
        <v>1086</v>
      </c>
      <c r="B292" s="196">
        <v>1</v>
      </c>
      <c r="C292" s="196">
        <v>2</v>
      </c>
      <c r="D292" s="207">
        <v>20</v>
      </c>
      <c r="E292" s="206">
        <v>424</v>
      </c>
      <c r="F292" s="33" t="s">
        <v>768</v>
      </c>
      <c r="G292" s="37" t="s">
        <v>649</v>
      </c>
      <c r="H292" s="708">
        <v>100</v>
      </c>
      <c r="I292" s="727">
        <f t="shared" si="15"/>
        <v>106</v>
      </c>
      <c r="J292" s="36">
        <f t="shared" si="15"/>
        <v>112.36</v>
      </c>
      <c r="K292" s="39">
        <v>568458</v>
      </c>
      <c r="L292" s="419">
        <f t="shared" si="14"/>
        <v>10600</v>
      </c>
      <c r="M292" s="17"/>
      <c r="N292" s="129"/>
      <c r="Q292" s="513">
        <v>10</v>
      </c>
      <c r="R292" s="513">
        <v>1500</v>
      </c>
      <c r="S292" s="513">
        <f>+Q292*R292</f>
        <v>15000</v>
      </c>
    </row>
    <row r="293" spans="1:14" ht="14.25">
      <c r="A293" t="s">
        <v>1086</v>
      </c>
      <c r="B293" s="196">
        <v>1</v>
      </c>
      <c r="C293" s="196">
        <v>2</v>
      </c>
      <c r="D293" s="207">
        <v>100</v>
      </c>
      <c r="E293" s="206">
        <v>10600</v>
      </c>
      <c r="F293" s="33" t="s">
        <v>769</v>
      </c>
      <c r="G293" s="37" t="s">
        <v>649</v>
      </c>
      <c r="H293" s="127">
        <v>100</v>
      </c>
      <c r="I293" s="36">
        <v>8695.36</v>
      </c>
      <c r="J293" s="36">
        <v>8695.36</v>
      </c>
      <c r="K293" s="39">
        <v>579942</v>
      </c>
      <c r="L293" s="419">
        <f t="shared" si="14"/>
        <v>869536</v>
      </c>
      <c r="M293" s="17"/>
      <c r="N293" s="129"/>
    </row>
    <row r="294" spans="1:14" ht="14.25">
      <c r="A294" t="s">
        <v>1087</v>
      </c>
      <c r="B294" s="196">
        <v>1</v>
      </c>
      <c r="C294" s="196">
        <v>2</v>
      </c>
      <c r="D294" s="207">
        <v>100</v>
      </c>
      <c r="E294" s="206">
        <v>869536</v>
      </c>
      <c r="F294" s="699" t="s">
        <v>770</v>
      </c>
      <c r="G294" s="37" t="s">
        <v>761</v>
      </c>
      <c r="H294" s="707">
        <v>69</v>
      </c>
      <c r="I294" s="729">
        <v>264.48</v>
      </c>
      <c r="J294" s="36">
        <v>385.12</v>
      </c>
      <c r="K294" s="39">
        <v>133548.48</v>
      </c>
      <c r="L294" s="419">
        <f t="shared" si="14"/>
        <v>18249.120000000003</v>
      </c>
      <c r="M294" s="17"/>
      <c r="N294" s="129"/>
    </row>
    <row r="295" spans="1:19" ht="14.25">
      <c r="A295" t="s">
        <v>1087</v>
      </c>
      <c r="B295" s="196">
        <v>1</v>
      </c>
      <c r="C295" s="196">
        <v>2</v>
      </c>
      <c r="D295" s="207">
        <v>200</v>
      </c>
      <c r="E295" s="154">
        <v>100480</v>
      </c>
      <c r="F295" s="33" t="s">
        <v>771</v>
      </c>
      <c r="G295" s="37" t="s">
        <v>761</v>
      </c>
      <c r="H295" s="706">
        <v>86</v>
      </c>
      <c r="I295" s="299">
        <v>1361.84</v>
      </c>
      <c r="J295" s="36">
        <v>1119.4</v>
      </c>
      <c r="K295" s="39">
        <f>H295*I295</f>
        <v>117118.23999999999</v>
      </c>
      <c r="L295" s="419">
        <f t="shared" si="14"/>
        <v>117118.23999999999</v>
      </c>
      <c r="M295" s="17"/>
      <c r="N295" s="129"/>
      <c r="Q295" s="513">
        <v>10</v>
      </c>
      <c r="R295" s="513">
        <v>1050</v>
      </c>
      <c r="S295" s="513">
        <f>+Q295*R295</f>
        <v>10500</v>
      </c>
    </row>
    <row r="296" spans="1:19" ht="14.25">
      <c r="A296" t="s">
        <v>1290</v>
      </c>
      <c r="B296" s="196">
        <v>1</v>
      </c>
      <c r="C296" s="196">
        <v>2</v>
      </c>
      <c r="D296" s="207">
        <v>380</v>
      </c>
      <c r="E296" s="206">
        <v>455148.8</v>
      </c>
      <c r="F296" s="403" t="s">
        <v>774</v>
      </c>
      <c r="G296" s="37"/>
      <c r="H296" s="715">
        <f>5*0</f>
        <v>0</v>
      </c>
      <c r="I296" s="727">
        <f>(494500*1.16)</f>
        <v>573620</v>
      </c>
      <c r="J296" s="36">
        <f>(494500*1.16)</f>
        <v>573620</v>
      </c>
      <c r="K296" s="39"/>
      <c r="L296" s="419">
        <f t="shared" si="14"/>
        <v>0</v>
      </c>
      <c r="M296" s="17"/>
      <c r="N296" s="129"/>
      <c r="Q296" s="513">
        <v>10</v>
      </c>
      <c r="R296" s="513">
        <v>2160</v>
      </c>
      <c r="S296" s="513">
        <f>+Q296*R296</f>
        <v>21600</v>
      </c>
    </row>
    <row r="297" spans="1:19" ht="15">
      <c r="A297" t="s">
        <v>1089</v>
      </c>
      <c r="B297" s="196">
        <v>1</v>
      </c>
      <c r="C297" s="196">
        <v>2</v>
      </c>
      <c r="D297" s="118">
        <v>40</v>
      </c>
      <c r="E297" s="215">
        <v>13177.6</v>
      </c>
      <c r="F297" s="33" t="s">
        <v>689</v>
      </c>
      <c r="G297" s="37" t="s">
        <v>772</v>
      </c>
      <c r="H297" s="409">
        <v>900</v>
      </c>
      <c r="I297" s="726">
        <v>1149.35</v>
      </c>
      <c r="J297" s="36">
        <v>1074.16</v>
      </c>
      <c r="K297" s="39">
        <v>487478.4</v>
      </c>
      <c r="L297" s="419">
        <f t="shared" si="14"/>
        <v>1034414.9999999999</v>
      </c>
      <c r="M297" s="17"/>
      <c r="N297" s="129"/>
      <c r="Q297" s="513">
        <v>6</v>
      </c>
      <c r="R297" s="513">
        <v>1100</v>
      </c>
      <c r="S297" s="513">
        <f>+Q297*R297</f>
        <v>6600</v>
      </c>
    </row>
    <row r="298" spans="1:19" ht="15" thickBot="1">
      <c r="A298" t="s">
        <v>1293</v>
      </c>
      <c r="B298" s="196">
        <v>1</v>
      </c>
      <c r="C298" s="196">
        <v>2</v>
      </c>
      <c r="D298" s="207">
        <v>50</v>
      </c>
      <c r="E298" s="206">
        <v>26003</v>
      </c>
      <c r="F298" s="33" t="s">
        <v>1662</v>
      </c>
      <c r="G298" s="37" t="s">
        <v>748</v>
      </c>
      <c r="H298" s="706">
        <v>690</v>
      </c>
      <c r="I298" s="299">
        <v>4234</v>
      </c>
      <c r="J298" s="36">
        <v>5684</v>
      </c>
      <c r="K298" s="39">
        <v>2929000</v>
      </c>
      <c r="L298" s="419">
        <f t="shared" si="14"/>
        <v>2921460</v>
      </c>
      <c r="M298" s="17"/>
      <c r="N298" s="129"/>
      <c r="Q298" s="505">
        <v>20</v>
      </c>
      <c r="R298" s="505">
        <v>15600</v>
      </c>
      <c r="S298" s="506">
        <f>+Q298*R298</f>
        <v>312000</v>
      </c>
    </row>
    <row r="299" spans="1:19" ht="15">
      <c r="A299" t="s">
        <v>1222</v>
      </c>
      <c r="B299" s="196">
        <v>1</v>
      </c>
      <c r="C299" s="196">
        <v>2</v>
      </c>
      <c r="D299" s="207">
        <v>915</v>
      </c>
      <c r="E299" s="206">
        <v>4832920.2</v>
      </c>
      <c r="F299" s="33" t="s">
        <v>773</v>
      </c>
      <c r="G299" s="37" t="s">
        <v>649</v>
      </c>
      <c r="H299" s="409">
        <v>6000</v>
      </c>
      <c r="I299" s="726">
        <v>240.79</v>
      </c>
      <c r="J299" s="36">
        <v>225.04</v>
      </c>
      <c r="K299" s="39">
        <v>1352374.4</v>
      </c>
      <c r="L299" s="419">
        <f t="shared" si="14"/>
        <v>1444740</v>
      </c>
      <c r="M299" s="17"/>
      <c r="N299" s="129" t="s">
        <v>1368</v>
      </c>
      <c r="Q299" s="513">
        <v>100</v>
      </c>
      <c r="R299" s="513">
        <v>850</v>
      </c>
      <c r="S299" s="513">
        <f>+Q299*R299</f>
        <v>85000</v>
      </c>
    </row>
    <row r="300" spans="1:14" ht="14.25">
      <c r="A300" t="s">
        <v>245</v>
      </c>
      <c r="B300" s="196">
        <v>1</v>
      </c>
      <c r="C300" s="196">
        <v>2</v>
      </c>
      <c r="D300" s="207">
        <v>6000</v>
      </c>
      <c r="E300" s="206">
        <v>1444740</v>
      </c>
      <c r="F300" s="117" t="s">
        <v>1009</v>
      </c>
      <c r="G300" s="37" t="s">
        <v>649</v>
      </c>
      <c r="H300" s="706">
        <v>6</v>
      </c>
      <c r="I300" s="299">
        <v>2866.36</v>
      </c>
      <c r="J300" s="36">
        <v>3884.84</v>
      </c>
      <c r="K300" s="39">
        <v>282993.6</v>
      </c>
      <c r="L300" s="419">
        <f t="shared" si="14"/>
        <v>17198.16</v>
      </c>
      <c r="M300" s="17"/>
      <c r="N300" s="129" t="s">
        <v>1368</v>
      </c>
    </row>
    <row r="301" spans="1:14" ht="24">
      <c r="A301" s="522" t="s">
        <v>1663</v>
      </c>
      <c r="B301" s="196">
        <v>1</v>
      </c>
      <c r="C301" s="196">
        <v>2</v>
      </c>
      <c r="D301" s="207">
        <v>20</v>
      </c>
      <c r="E301" s="206">
        <v>1559596.8</v>
      </c>
      <c r="F301" s="704" t="s">
        <v>1664</v>
      </c>
      <c r="G301" s="37" t="s">
        <v>748</v>
      </c>
      <c r="H301" s="717">
        <v>6</v>
      </c>
      <c r="I301">
        <v>161820</v>
      </c>
      <c r="J301" s="36"/>
      <c r="K301" s="39"/>
      <c r="L301" s="419">
        <f t="shared" si="14"/>
        <v>970920</v>
      </c>
      <c r="M301" s="17"/>
      <c r="N301" s="129" t="s">
        <v>1368</v>
      </c>
    </row>
    <row r="302" spans="1:14" ht="14.25">
      <c r="A302" s="524" t="s">
        <v>1007</v>
      </c>
      <c r="B302" s="196">
        <v>1</v>
      </c>
      <c r="C302" s="196">
        <v>2</v>
      </c>
      <c r="D302" s="207">
        <v>330</v>
      </c>
      <c r="E302" s="206">
        <v>28413673.2</v>
      </c>
      <c r="F302" s="703" t="s">
        <v>1006</v>
      </c>
      <c r="G302" s="37" t="s">
        <v>748</v>
      </c>
      <c r="H302" s="518">
        <v>17</v>
      </c>
      <c r="I302">
        <v>48963.6</v>
      </c>
      <c r="J302" s="36"/>
      <c r="K302" s="39"/>
      <c r="L302" s="419">
        <f t="shared" si="14"/>
        <v>832381.2</v>
      </c>
      <c r="M302" s="17"/>
      <c r="N302" s="129"/>
    </row>
    <row r="303" spans="1:14" ht="14.25">
      <c r="A303" s="520" t="s">
        <v>1663</v>
      </c>
      <c r="B303" s="196">
        <v>1</v>
      </c>
      <c r="C303" s="196">
        <v>2</v>
      </c>
      <c r="D303" s="207">
        <v>282</v>
      </c>
      <c r="E303" s="206">
        <v>28538541</v>
      </c>
      <c r="F303" s="33" t="s">
        <v>1005</v>
      </c>
      <c r="G303" s="37" t="s">
        <v>748</v>
      </c>
      <c r="H303" s="706">
        <v>7</v>
      </c>
      <c r="I303" s="299">
        <v>85782</v>
      </c>
      <c r="J303" s="36">
        <v>77979.84</v>
      </c>
      <c r="K303" s="39"/>
      <c r="L303" s="419">
        <f t="shared" si="14"/>
        <v>600474</v>
      </c>
      <c r="M303" s="17"/>
      <c r="N303" s="129"/>
    </row>
    <row r="304" spans="1:14" ht="14.25">
      <c r="A304" s="520" t="s">
        <v>1003</v>
      </c>
      <c r="B304" s="196"/>
      <c r="C304" s="196"/>
      <c r="D304" s="207"/>
      <c r="E304" s="206"/>
      <c r="F304" s="33" t="s">
        <v>1682</v>
      </c>
      <c r="G304" s="37" t="s">
        <v>748</v>
      </c>
      <c r="H304" s="518">
        <v>991</v>
      </c>
      <c r="I304">
        <v>53708</v>
      </c>
      <c r="J304" s="36"/>
      <c r="K304" s="39"/>
      <c r="L304" s="419">
        <f t="shared" si="14"/>
        <v>53224628</v>
      </c>
      <c r="M304" s="17"/>
      <c r="N304" s="129"/>
    </row>
    <row r="305" spans="1:14" ht="14.25">
      <c r="A305" s="520" t="s">
        <v>1663</v>
      </c>
      <c r="B305" s="196">
        <v>1</v>
      </c>
      <c r="C305" s="196">
        <v>2</v>
      </c>
      <c r="D305" s="207">
        <v>60</v>
      </c>
      <c r="E305" s="206">
        <v>3084168</v>
      </c>
      <c r="F305" s="33" t="s">
        <v>1681</v>
      </c>
      <c r="G305" s="37" t="s">
        <v>748</v>
      </c>
      <c r="H305" s="523">
        <v>302</v>
      </c>
      <c r="I305">
        <v>72036</v>
      </c>
      <c r="J305" s="36">
        <v>75446.4</v>
      </c>
      <c r="K305" s="39">
        <v>2011730</v>
      </c>
      <c r="L305" s="419">
        <f t="shared" si="14"/>
        <v>21754872</v>
      </c>
      <c r="M305" s="17"/>
      <c r="N305" s="129"/>
    </row>
    <row r="306" spans="1:14" ht="14.25">
      <c r="A306" s="520" t="s">
        <v>1663</v>
      </c>
      <c r="B306" s="196">
        <v>5</v>
      </c>
      <c r="C306" s="196">
        <v>2</v>
      </c>
      <c r="D306" s="207">
        <v>640</v>
      </c>
      <c r="E306" s="206">
        <v>39267200</v>
      </c>
      <c r="F306" s="662" t="s">
        <v>1002</v>
      </c>
      <c r="G306" s="37" t="s">
        <v>748</v>
      </c>
      <c r="H306" s="518">
        <v>215</v>
      </c>
      <c r="I306">
        <v>75864</v>
      </c>
      <c r="J306" s="36"/>
      <c r="K306" s="39"/>
      <c r="L306" s="419">
        <f t="shared" si="14"/>
        <v>16310760</v>
      </c>
      <c r="M306" s="17"/>
      <c r="N306" s="129"/>
    </row>
    <row r="307" spans="1:14" ht="14.25">
      <c r="A307" s="520" t="s">
        <v>1663</v>
      </c>
      <c r="B307" s="196"/>
      <c r="C307" s="196"/>
      <c r="D307" s="207">
        <v>250</v>
      </c>
      <c r="E307" s="206">
        <v>25923000</v>
      </c>
      <c r="F307" s="33" t="s">
        <v>1683</v>
      </c>
      <c r="G307" s="37" t="s">
        <v>748</v>
      </c>
      <c r="H307" s="518">
        <v>259</v>
      </c>
      <c r="I307">
        <v>66120</v>
      </c>
      <c r="J307" s="36">
        <v>64224.56</v>
      </c>
      <c r="K307" s="39">
        <v>6272700</v>
      </c>
      <c r="L307" s="419">
        <f t="shared" si="14"/>
        <v>17125080</v>
      </c>
      <c r="M307" s="17"/>
      <c r="N307" s="129"/>
    </row>
    <row r="308" spans="1:14" ht="14.25">
      <c r="A308" s="520" t="s">
        <v>1663</v>
      </c>
      <c r="B308" s="196">
        <v>1</v>
      </c>
      <c r="C308" s="196">
        <v>2</v>
      </c>
      <c r="D308" s="207">
        <v>300</v>
      </c>
      <c r="E308" s="206">
        <v>22214625</v>
      </c>
      <c r="F308" s="33" t="s">
        <v>1684</v>
      </c>
      <c r="G308" s="37" t="s">
        <v>748</v>
      </c>
      <c r="H308" s="518">
        <v>948</v>
      </c>
      <c r="I308">
        <v>88044</v>
      </c>
      <c r="J308" s="36">
        <v>87198.36</v>
      </c>
      <c r="K308" s="39">
        <v>3390865.6</v>
      </c>
      <c r="L308" s="419">
        <f t="shared" si="14"/>
        <v>83465712</v>
      </c>
      <c r="M308" s="17"/>
      <c r="N308" s="129"/>
    </row>
    <row r="309" spans="1:14" ht="14.25">
      <c r="A309" s="520" t="s">
        <v>1663</v>
      </c>
      <c r="B309" s="196">
        <v>1</v>
      </c>
      <c r="C309" s="196">
        <v>2</v>
      </c>
      <c r="D309" s="207">
        <v>350</v>
      </c>
      <c r="E309" s="206">
        <v>32655787.5</v>
      </c>
      <c r="F309" s="33" t="s">
        <v>1685</v>
      </c>
      <c r="G309" s="37" t="s">
        <v>748</v>
      </c>
      <c r="H309" s="518">
        <v>483</v>
      </c>
      <c r="I309">
        <v>93960</v>
      </c>
      <c r="J309" s="36">
        <v>100722.8</v>
      </c>
      <c r="K309" s="39">
        <v>2112406.4</v>
      </c>
      <c r="L309" s="419">
        <f t="shared" si="14"/>
        <v>45382680</v>
      </c>
      <c r="M309" s="17"/>
      <c r="N309" s="129"/>
    </row>
    <row r="310" spans="1:14" ht="15">
      <c r="A310" s="520" t="s">
        <v>1663</v>
      </c>
      <c r="B310" s="196">
        <v>1</v>
      </c>
      <c r="C310" s="196">
        <v>2</v>
      </c>
      <c r="D310" s="207">
        <v>30</v>
      </c>
      <c r="E310" s="206">
        <v>1665690</v>
      </c>
      <c r="F310" s="33" t="s">
        <v>680</v>
      </c>
      <c r="G310" s="37"/>
      <c r="H310" s="718">
        <v>100</v>
      </c>
      <c r="I310" s="726">
        <f>90000*1.16</f>
        <v>104400</v>
      </c>
      <c r="J310" s="36"/>
      <c r="K310" s="39"/>
      <c r="L310" s="419">
        <f t="shared" si="14"/>
        <v>10440000</v>
      </c>
      <c r="M310" s="17"/>
      <c r="N310" s="129"/>
    </row>
    <row r="311" spans="1:14" ht="14.25">
      <c r="A311" s="520" t="s">
        <v>1663</v>
      </c>
      <c r="B311" s="196">
        <v>1</v>
      </c>
      <c r="C311" s="196">
        <v>2</v>
      </c>
      <c r="D311" s="207">
        <v>240</v>
      </c>
      <c r="E311" s="206">
        <v>278400</v>
      </c>
      <c r="F311" s="33" t="s">
        <v>1004</v>
      </c>
      <c r="G311" s="37" t="s">
        <v>748</v>
      </c>
      <c r="H311" s="518">
        <v>21</v>
      </c>
      <c r="I311">
        <v>60279</v>
      </c>
      <c r="J311" s="36">
        <v>40600</v>
      </c>
      <c r="K311" s="39">
        <f>I311*H311</f>
        <v>1265859</v>
      </c>
      <c r="L311" s="419">
        <f t="shared" si="14"/>
        <v>1265859</v>
      </c>
      <c r="M311" s="17">
        <f>H310*I310</f>
        <v>10440000</v>
      </c>
      <c r="N311" s="129"/>
    </row>
    <row r="312" spans="1:14" ht="14.25">
      <c r="A312" s="520" t="s">
        <v>1663</v>
      </c>
      <c r="B312" s="196">
        <v>5</v>
      </c>
      <c r="C312" s="196">
        <v>2</v>
      </c>
      <c r="D312" s="207">
        <v>12</v>
      </c>
      <c r="E312" s="206">
        <v>1252800</v>
      </c>
      <c r="F312" s="33" t="s">
        <v>1008</v>
      </c>
      <c r="G312" s="37" t="s">
        <v>748</v>
      </c>
      <c r="H312" s="518">
        <v>6</v>
      </c>
      <c r="I312">
        <v>56144</v>
      </c>
      <c r="J312" s="36">
        <v>40600</v>
      </c>
      <c r="K312" s="39">
        <f>I312*H312</f>
        <v>336864</v>
      </c>
      <c r="L312" s="419">
        <f t="shared" si="14"/>
        <v>336864</v>
      </c>
      <c r="M312" s="17"/>
      <c r="N312" s="129"/>
    </row>
    <row r="313" spans="1:14" ht="14.25">
      <c r="A313" t="s">
        <v>1099</v>
      </c>
      <c r="B313" s="196">
        <v>1</v>
      </c>
      <c r="C313" s="196">
        <v>2</v>
      </c>
      <c r="D313" s="207">
        <v>240</v>
      </c>
      <c r="E313" s="206">
        <v>278400</v>
      </c>
      <c r="F313" s="702" t="s">
        <v>1481</v>
      </c>
      <c r="G313" s="37" t="s">
        <v>748</v>
      </c>
      <c r="H313" s="716">
        <v>17241</v>
      </c>
      <c r="I313">
        <v>573.04</v>
      </c>
      <c r="J313" s="36"/>
      <c r="K313" s="39"/>
      <c r="L313" s="419">
        <f t="shared" si="14"/>
        <v>9879782.639999999</v>
      </c>
      <c r="M313" s="17"/>
      <c r="N313" s="129"/>
    </row>
    <row r="314" spans="1:14" ht="15">
      <c r="A314" t="s">
        <v>1099</v>
      </c>
      <c r="B314" s="196">
        <v>1</v>
      </c>
      <c r="C314" s="196">
        <v>2</v>
      </c>
      <c r="D314" s="207">
        <v>194</v>
      </c>
      <c r="E314" s="206">
        <v>806415.32</v>
      </c>
      <c r="F314" s="117" t="s">
        <v>448</v>
      </c>
      <c r="G314" s="37"/>
      <c r="H314" s="409">
        <v>240</v>
      </c>
      <c r="I314" s="726">
        <v>1160</v>
      </c>
      <c r="J314" s="36">
        <v>1160</v>
      </c>
      <c r="K314" s="39"/>
      <c r="L314" s="419">
        <f aca="true" t="shared" si="16" ref="L314:L328">H314*I314</f>
        <v>278400</v>
      </c>
      <c r="M314" s="17"/>
      <c r="N314" s="129"/>
    </row>
    <row r="315" spans="1:19" ht="14.25">
      <c r="A315" t="s">
        <v>1483</v>
      </c>
      <c r="B315" s="196"/>
      <c r="C315" s="196"/>
      <c r="D315" s="207"/>
      <c r="E315" s="206"/>
      <c r="F315" s="33" t="s">
        <v>1482</v>
      </c>
      <c r="G315" s="37" t="s">
        <v>748</v>
      </c>
      <c r="H315" s="518">
        <v>60</v>
      </c>
      <c r="I315">
        <v>5558.72</v>
      </c>
      <c r="J315" s="36">
        <v>183.28</v>
      </c>
      <c r="K315" s="39">
        <v>293712</v>
      </c>
      <c r="L315" s="419">
        <f t="shared" si="16"/>
        <v>333523.2</v>
      </c>
      <c r="M315" s="17"/>
      <c r="N315" s="129"/>
      <c r="Q315" s="513">
        <v>30</v>
      </c>
      <c r="R315" s="513">
        <v>850</v>
      </c>
      <c r="S315" s="513">
        <f>+Q315*R315</f>
        <v>25500</v>
      </c>
    </row>
    <row r="316" spans="1:19" ht="14.25">
      <c r="A316" t="s">
        <v>1486</v>
      </c>
      <c r="B316" s="196">
        <v>1</v>
      </c>
      <c r="C316" s="196">
        <v>2</v>
      </c>
      <c r="D316" s="207">
        <v>4800</v>
      </c>
      <c r="E316" s="206">
        <v>1257072</v>
      </c>
      <c r="F316" s="33" t="s">
        <v>690</v>
      </c>
      <c r="G316" s="37" t="s">
        <v>748</v>
      </c>
      <c r="H316" s="518">
        <v>2155</v>
      </c>
      <c r="I316">
        <v>705.28</v>
      </c>
      <c r="J316" s="36">
        <v>675.12</v>
      </c>
      <c r="K316" s="39">
        <v>1016055.6</v>
      </c>
      <c r="L316" s="419">
        <f t="shared" si="16"/>
        <v>1519878.4</v>
      </c>
      <c r="M316" s="17"/>
      <c r="N316" s="129"/>
      <c r="Q316" s="513">
        <v>30</v>
      </c>
      <c r="R316" s="513">
        <v>1440</v>
      </c>
      <c r="S316" s="513">
        <f>+Q316*R316</f>
        <v>43200</v>
      </c>
    </row>
    <row r="317" spans="1:19" ht="14.25">
      <c r="A317" t="s">
        <v>1484</v>
      </c>
      <c r="B317" s="196">
        <v>1</v>
      </c>
      <c r="C317" s="196">
        <v>2</v>
      </c>
      <c r="D317" s="207">
        <v>3500</v>
      </c>
      <c r="E317" s="206">
        <v>2528330</v>
      </c>
      <c r="F317" s="33" t="s">
        <v>1485</v>
      </c>
      <c r="G317" s="37" t="s">
        <v>748</v>
      </c>
      <c r="H317" s="518">
        <v>1724</v>
      </c>
      <c r="I317">
        <v>238.96</v>
      </c>
      <c r="J317" s="36">
        <v>748.2</v>
      </c>
      <c r="K317" s="39">
        <v>54810</v>
      </c>
      <c r="L317" s="419">
        <f t="shared" si="16"/>
        <v>411967.04000000004</v>
      </c>
      <c r="M317" s="17"/>
      <c r="N317" s="129"/>
      <c r="Q317" s="513">
        <v>10</v>
      </c>
      <c r="R317" s="513">
        <v>3360</v>
      </c>
      <c r="S317" s="513">
        <f>+Q317*R317</f>
        <v>33600</v>
      </c>
    </row>
    <row r="318" spans="1:19" ht="14.25">
      <c r="A318" t="s">
        <v>1487</v>
      </c>
      <c r="B318" s="196">
        <v>1</v>
      </c>
      <c r="C318" s="196">
        <v>2</v>
      </c>
      <c r="D318" s="207">
        <v>450</v>
      </c>
      <c r="E318" s="206">
        <v>527818.5</v>
      </c>
      <c r="F318" s="33" t="s">
        <v>1686</v>
      </c>
      <c r="G318" s="37" t="s">
        <v>748</v>
      </c>
      <c r="H318" s="518">
        <v>60</v>
      </c>
      <c r="I318">
        <v>1952.28</v>
      </c>
      <c r="J318" s="36">
        <v>1338.64</v>
      </c>
      <c r="K318" s="39">
        <f>I318*H318</f>
        <v>117136.8</v>
      </c>
      <c r="L318" s="419">
        <f t="shared" si="16"/>
        <v>117136.8</v>
      </c>
      <c r="M318" s="17"/>
      <c r="N318" s="129"/>
      <c r="Q318" s="513">
        <v>2</v>
      </c>
      <c r="R318" s="513">
        <v>5500</v>
      </c>
      <c r="S318" s="513">
        <f>+Q318*R318</f>
        <v>11000</v>
      </c>
    </row>
    <row r="319" spans="1:19" ht="14.25">
      <c r="A319" t="s">
        <v>1488</v>
      </c>
      <c r="B319" s="196">
        <v>1</v>
      </c>
      <c r="C319" s="196">
        <v>2</v>
      </c>
      <c r="D319" s="207">
        <v>200</v>
      </c>
      <c r="E319" s="206">
        <v>286468</v>
      </c>
      <c r="F319" s="33" t="s">
        <v>833</v>
      </c>
      <c r="G319" s="37" t="s">
        <v>748</v>
      </c>
      <c r="H319" s="707">
        <v>259</v>
      </c>
      <c r="I319" s="299">
        <v>1490.6</v>
      </c>
      <c r="J319" s="36">
        <v>1338.64</v>
      </c>
      <c r="K319" s="39">
        <f>I319*H319</f>
        <v>386065.39999999997</v>
      </c>
      <c r="L319" s="419">
        <f t="shared" si="16"/>
        <v>386065.39999999997</v>
      </c>
      <c r="M319" s="17"/>
      <c r="N319" s="129"/>
      <c r="Q319" s="513">
        <v>5</v>
      </c>
      <c r="R319" s="513">
        <v>3000</v>
      </c>
      <c r="S319" s="513">
        <f>+Q319*R319</f>
        <v>15000</v>
      </c>
    </row>
    <row r="320" spans="1:14" ht="14.25">
      <c r="A320" t="s">
        <v>1092</v>
      </c>
      <c r="B320" s="196"/>
      <c r="C320" s="196"/>
      <c r="D320" s="207">
        <v>2500</v>
      </c>
      <c r="E320" s="206">
        <v>3080850</v>
      </c>
      <c r="F320" s="33" t="s">
        <v>290</v>
      </c>
      <c r="G320" s="37" t="s">
        <v>748</v>
      </c>
      <c r="H320" s="127">
        <v>100</v>
      </c>
      <c r="I320" s="36">
        <v>5500</v>
      </c>
      <c r="J320" s="36">
        <v>5500</v>
      </c>
      <c r="K320" s="39"/>
      <c r="L320" s="419">
        <f t="shared" si="16"/>
        <v>550000</v>
      </c>
      <c r="M320" s="17"/>
      <c r="N320" s="129"/>
    </row>
    <row r="321" spans="1:14" ht="14.25">
      <c r="A321" t="s">
        <v>1492</v>
      </c>
      <c r="B321" s="196">
        <v>1</v>
      </c>
      <c r="C321" s="196">
        <v>2</v>
      </c>
      <c r="D321" s="207">
        <v>0</v>
      </c>
      <c r="E321" s="206">
        <v>0</v>
      </c>
      <c r="F321" s="33" t="s">
        <v>1491</v>
      </c>
      <c r="G321" s="37" t="s">
        <v>649</v>
      </c>
      <c r="H321" s="518">
        <v>1983</v>
      </c>
      <c r="I321">
        <v>220.4</v>
      </c>
      <c r="J321" s="36">
        <v>451</v>
      </c>
      <c r="K321" s="39">
        <f>I321*H321</f>
        <v>437053.2</v>
      </c>
      <c r="L321" s="419">
        <f t="shared" si="16"/>
        <v>437053.2</v>
      </c>
      <c r="M321" s="17"/>
      <c r="N321" s="129"/>
    </row>
    <row r="322" spans="1:19" ht="14.25">
      <c r="A322" t="s">
        <v>1493</v>
      </c>
      <c r="B322" s="196">
        <v>1</v>
      </c>
      <c r="C322" s="196">
        <v>2</v>
      </c>
      <c r="D322" s="207">
        <v>6400</v>
      </c>
      <c r="E322" s="206">
        <v>3088448</v>
      </c>
      <c r="F322" s="33" t="s">
        <v>1494</v>
      </c>
      <c r="G322" s="37" t="s">
        <v>649</v>
      </c>
      <c r="H322" s="518">
        <v>129</v>
      </c>
      <c r="I322">
        <v>982.52</v>
      </c>
      <c r="J322" s="36">
        <v>311</v>
      </c>
      <c r="K322" s="39">
        <f>I322*H322</f>
        <v>126745.08</v>
      </c>
      <c r="L322" s="419">
        <f t="shared" si="16"/>
        <v>126745.08</v>
      </c>
      <c r="M322" s="17"/>
      <c r="N322" s="129"/>
      <c r="Q322" s="513">
        <v>100</v>
      </c>
      <c r="R322" s="513">
        <v>800</v>
      </c>
      <c r="S322" s="513">
        <f>+Q322*R322</f>
        <v>80000</v>
      </c>
    </row>
    <row r="323" spans="1:19" ht="14.25">
      <c r="A323" t="s">
        <v>1076</v>
      </c>
      <c r="B323" s="196">
        <v>1</v>
      </c>
      <c r="C323" s="196">
        <v>2</v>
      </c>
      <c r="D323" s="207">
        <v>400</v>
      </c>
      <c r="E323" s="206">
        <v>188320</v>
      </c>
      <c r="F323" s="33" t="s">
        <v>777</v>
      </c>
      <c r="G323" s="37" t="s">
        <v>649</v>
      </c>
      <c r="H323" s="413">
        <v>2000</v>
      </c>
      <c r="I323" s="501">
        <v>2538.08</v>
      </c>
      <c r="J323" s="36">
        <v>2637.84</v>
      </c>
      <c r="K323" s="39">
        <v>1593840</v>
      </c>
      <c r="L323" s="419">
        <f t="shared" si="16"/>
        <v>5076160</v>
      </c>
      <c r="M323" s="17"/>
      <c r="N323" s="129"/>
      <c r="Q323" s="513">
        <v>20</v>
      </c>
      <c r="R323" s="513">
        <v>800</v>
      </c>
      <c r="S323" s="513">
        <f>+Q323*R323</f>
        <v>16000</v>
      </c>
    </row>
    <row r="324" spans="1:19" ht="15">
      <c r="A324" t="s">
        <v>1091</v>
      </c>
      <c r="B324" s="196">
        <v>1</v>
      </c>
      <c r="C324" s="196">
        <v>2</v>
      </c>
      <c r="D324" s="207">
        <v>1000</v>
      </c>
      <c r="E324" s="206">
        <v>868840</v>
      </c>
      <c r="F324" s="33" t="s">
        <v>679</v>
      </c>
      <c r="G324" s="37" t="s">
        <v>649</v>
      </c>
      <c r="H324" s="409">
        <v>100</v>
      </c>
      <c r="I324" s="726">
        <f>15964*1.16</f>
        <v>18518.239999999998</v>
      </c>
      <c r="J324" s="36"/>
      <c r="K324" s="39"/>
      <c r="L324" s="419">
        <f t="shared" si="16"/>
        <v>1851823.9999999998</v>
      </c>
      <c r="M324" s="17"/>
      <c r="N324" s="129"/>
      <c r="Q324" s="513">
        <v>20</v>
      </c>
      <c r="R324" s="513">
        <v>6600</v>
      </c>
      <c r="S324" s="513">
        <f>+Q324*R324</f>
        <v>132000</v>
      </c>
    </row>
    <row r="325" spans="1:19" ht="14.25">
      <c r="A325" t="s">
        <v>1496</v>
      </c>
      <c r="B325" s="196">
        <v>1</v>
      </c>
      <c r="C325" s="196">
        <v>2</v>
      </c>
      <c r="D325" s="207">
        <v>3000</v>
      </c>
      <c r="E325" s="206">
        <v>7886580</v>
      </c>
      <c r="F325" s="33" t="s">
        <v>1495</v>
      </c>
      <c r="G325" s="37" t="s">
        <v>649</v>
      </c>
      <c r="H325" s="706">
        <v>259</v>
      </c>
      <c r="I325" s="299">
        <v>317.84</v>
      </c>
      <c r="J325" s="36">
        <v>1056</v>
      </c>
      <c r="K325" s="39"/>
      <c r="L325" s="419">
        <f t="shared" si="16"/>
        <v>82320.56</v>
      </c>
      <c r="M325" s="17"/>
      <c r="N325" s="129"/>
      <c r="Q325" s="513">
        <v>25</v>
      </c>
      <c r="R325" s="513">
        <v>3000</v>
      </c>
      <c r="S325" s="513">
        <f>+Q325*R325</f>
        <v>75000</v>
      </c>
    </row>
    <row r="326" spans="1:14" ht="14.25">
      <c r="A326" t="s">
        <v>1498</v>
      </c>
      <c r="B326" s="196">
        <v>5</v>
      </c>
      <c r="C326" s="196">
        <v>1</v>
      </c>
      <c r="D326" s="207">
        <v>100</v>
      </c>
      <c r="E326" s="206">
        <v>1851824</v>
      </c>
      <c r="F326" s="33" t="s">
        <v>1497</v>
      </c>
      <c r="G326" s="37" t="s">
        <v>649</v>
      </c>
      <c r="H326" s="518">
        <v>259</v>
      </c>
      <c r="I326">
        <v>1062.56</v>
      </c>
      <c r="J326" s="36">
        <f>(I326*6%)+I326</f>
        <v>1126.3136</v>
      </c>
      <c r="K326" s="39">
        <v>1254980.8</v>
      </c>
      <c r="L326" s="419">
        <f t="shared" si="16"/>
        <v>275203.04</v>
      </c>
      <c r="M326" s="17"/>
      <c r="N326" s="129"/>
    </row>
    <row r="327" spans="1:19" ht="14.25">
      <c r="A327" t="s">
        <v>1498</v>
      </c>
      <c r="B327" s="196">
        <v>1</v>
      </c>
      <c r="C327" s="196">
        <v>2</v>
      </c>
      <c r="D327" s="207">
        <v>80</v>
      </c>
      <c r="E327" s="206">
        <v>1083816</v>
      </c>
      <c r="F327" s="33" t="s">
        <v>1497</v>
      </c>
      <c r="G327" s="37" t="s">
        <v>649</v>
      </c>
      <c r="H327" s="518">
        <v>52</v>
      </c>
      <c r="I327">
        <v>8155.96</v>
      </c>
      <c r="J327" s="36">
        <f>(I327*6%)+I327</f>
        <v>8645.3176</v>
      </c>
      <c r="K327" s="39">
        <v>206074</v>
      </c>
      <c r="L327" s="419">
        <f t="shared" si="16"/>
        <v>424109.92</v>
      </c>
      <c r="M327" s="17"/>
      <c r="N327" s="129"/>
      <c r="Q327" s="513">
        <v>2</v>
      </c>
      <c r="R327" s="513">
        <v>16200</v>
      </c>
      <c r="S327" s="513">
        <f>+Q327*R327</f>
        <v>32400</v>
      </c>
    </row>
    <row r="328" spans="1:19" ht="14.25">
      <c r="A328" t="s">
        <v>1095</v>
      </c>
      <c r="B328" s="196">
        <v>1</v>
      </c>
      <c r="C328" s="196">
        <v>2</v>
      </c>
      <c r="D328" s="207">
        <v>100</v>
      </c>
      <c r="E328" s="206">
        <v>1139754</v>
      </c>
      <c r="F328" s="33" t="s">
        <v>1499</v>
      </c>
      <c r="G328" s="37" t="s">
        <v>649</v>
      </c>
      <c r="H328" s="518">
        <v>13</v>
      </c>
      <c r="I328">
        <v>18734</v>
      </c>
      <c r="J328" s="36">
        <v>12690.4</v>
      </c>
      <c r="K328" s="39">
        <v>327700</v>
      </c>
      <c r="L328" s="419">
        <f t="shared" si="16"/>
        <v>243542</v>
      </c>
      <c r="M328" s="17"/>
      <c r="N328" s="129"/>
      <c r="Q328" s="513">
        <v>6</v>
      </c>
      <c r="R328" s="513">
        <v>31200</v>
      </c>
      <c r="S328" s="513">
        <f>+Q328*R328</f>
        <v>187200</v>
      </c>
    </row>
    <row r="329" spans="1:14" ht="15">
      <c r="A329" t="s">
        <v>1089</v>
      </c>
      <c r="B329" s="196">
        <v>1</v>
      </c>
      <c r="C329" s="196">
        <v>2</v>
      </c>
      <c r="D329" s="207">
        <v>50</v>
      </c>
      <c r="E329" s="206">
        <v>850000</v>
      </c>
      <c r="F329" s="33" t="s">
        <v>1385</v>
      </c>
      <c r="G329" s="37" t="s">
        <v>772</v>
      </c>
      <c r="H329" s="127">
        <f>5*0</f>
        <v>0</v>
      </c>
      <c r="I329" s="499">
        <v>1021.96</v>
      </c>
      <c r="J329" s="36">
        <f>(I329*6%)+I329</f>
        <v>1083.2776000000001</v>
      </c>
      <c r="K329" s="39">
        <v>111499.2</v>
      </c>
      <c r="L329" s="419">
        <v>0</v>
      </c>
      <c r="M329" s="17"/>
      <c r="N329" s="129"/>
    </row>
    <row r="330" spans="1:14" ht="15">
      <c r="A330" t="s">
        <v>1294</v>
      </c>
      <c r="B330" s="196">
        <v>1</v>
      </c>
      <c r="C330" s="196">
        <v>2</v>
      </c>
      <c r="D330" s="207">
        <v>0</v>
      </c>
      <c r="E330" s="206">
        <v>0</v>
      </c>
      <c r="F330" s="33" t="s">
        <v>834</v>
      </c>
      <c r="G330" s="37" t="s">
        <v>649</v>
      </c>
      <c r="H330" s="518">
        <v>52</v>
      </c>
      <c r="I330" s="276">
        <v>792.28</v>
      </c>
      <c r="J330" s="36">
        <v>972.08</v>
      </c>
      <c r="K330" s="39">
        <v>92572.64</v>
      </c>
      <c r="L330" s="419">
        <f aca="true" t="shared" si="17" ref="L330:L337">H330*I330</f>
        <v>41198.56</v>
      </c>
      <c r="M330" s="17"/>
      <c r="N330" s="129"/>
    </row>
    <row r="331" spans="1:19" ht="15">
      <c r="A331" t="s">
        <v>1294</v>
      </c>
      <c r="B331" s="196">
        <v>1</v>
      </c>
      <c r="C331" s="196">
        <v>2</v>
      </c>
      <c r="D331" s="207">
        <v>340</v>
      </c>
      <c r="E331" s="206">
        <v>474538</v>
      </c>
      <c r="F331" s="33" t="s">
        <v>842</v>
      </c>
      <c r="G331" s="37" t="s">
        <v>649</v>
      </c>
      <c r="H331" s="518">
        <v>259</v>
      </c>
      <c r="I331" s="276">
        <v>557.96</v>
      </c>
      <c r="J331" s="36">
        <v>617.12</v>
      </c>
      <c r="K331" s="39">
        <v>396279.2</v>
      </c>
      <c r="L331" s="419">
        <f t="shared" si="17"/>
        <v>144511.64</v>
      </c>
      <c r="M331" s="17"/>
      <c r="N331" s="129"/>
      <c r="Q331" s="513">
        <v>5</v>
      </c>
      <c r="R331" s="513">
        <v>2400</v>
      </c>
      <c r="S331" s="513">
        <f>+Q331*R331</f>
        <v>12000</v>
      </c>
    </row>
    <row r="332" spans="1:19" ht="15">
      <c r="A332" t="s">
        <v>1288</v>
      </c>
      <c r="B332" s="196">
        <v>1</v>
      </c>
      <c r="C332" s="196">
        <v>2</v>
      </c>
      <c r="D332" s="207">
        <v>1778</v>
      </c>
      <c r="E332" s="206">
        <v>1174048.96</v>
      </c>
      <c r="F332" s="33" t="s">
        <v>915</v>
      </c>
      <c r="G332" s="37"/>
      <c r="H332">
        <v>100</v>
      </c>
      <c r="I332" s="276">
        <v>2790</v>
      </c>
      <c r="J332" s="36"/>
      <c r="K332" s="39"/>
      <c r="L332" s="419">
        <f t="shared" si="17"/>
        <v>279000</v>
      </c>
      <c r="M332" s="17"/>
      <c r="N332" s="129"/>
      <c r="Q332" s="513">
        <v>5</v>
      </c>
      <c r="R332" s="513">
        <v>6000</v>
      </c>
      <c r="S332" s="513">
        <f>+Q332*R332</f>
        <v>30000</v>
      </c>
    </row>
    <row r="333" spans="1:14" ht="15">
      <c r="A333" t="s">
        <v>1221</v>
      </c>
      <c r="B333" s="196"/>
      <c r="C333" s="196"/>
      <c r="D333" s="207">
        <v>100</v>
      </c>
      <c r="E333" s="206">
        <v>279000</v>
      </c>
      <c r="F333" s="403" t="s">
        <v>843</v>
      </c>
      <c r="G333" s="37" t="s">
        <v>649</v>
      </c>
      <c r="H333">
        <v>2000</v>
      </c>
      <c r="I333" s="276">
        <v>1226.31</v>
      </c>
      <c r="J333" s="36">
        <v>1146.08</v>
      </c>
      <c r="K333" s="39">
        <v>1197120</v>
      </c>
      <c r="L333" s="419">
        <f t="shared" si="17"/>
        <v>2452620</v>
      </c>
      <c r="M333" s="17"/>
      <c r="N333" s="129"/>
    </row>
    <row r="334" spans="1:19" ht="15.75" thickBot="1">
      <c r="A334" t="s">
        <v>1090</v>
      </c>
      <c r="B334" s="196">
        <v>1</v>
      </c>
      <c r="C334" s="196">
        <v>2</v>
      </c>
      <c r="D334" s="207">
        <v>0</v>
      </c>
      <c r="E334" s="206">
        <v>0</v>
      </c>
      <c r="F334" s="597" t="s">
        <v>356</v>
      </c>
      <c r="G334" s="37"/>
      <c r="H334">
        <v>200</v>
      </c>
      <c r="I334" s="276">
        <v>377</v>
      </c>
      <c r="J334" s="36">
        <f>325*1.16</f>
        <v>377</v>
      </c>
      <c r="K334" s="39"/>
      <c r="L334" s="419">
        <f t="shared" si="17"/>
        <v>75400</v>
      </c>
      <c r="M334" s="17"/>
      <c r="N334" s="129"/>
      <c r="Q334" s="505">
        <v>20</v>
      </c>
      <c r="R334" s="505">
        <v>1800</v>
      </c>
      <c r="S334" s="505">
        <f>+Q334*R334</f>
        <v>36000</v>
      </c>
    </row>
    <row r="335" spans="1:14" ht="14.25">
      <c r="A335" t="s">
        <v>1090</v>
      </c>
      <c r="B335" s="196">
        <v>1</v>
      </c>
      <c r="C335" s="196">
        <v>2</v>
      </c>
      <c r="D335" s="207">
        <v>2000</v>
      </c>
      <c r="E335" s="206">
        <v>18590700</v>
      </c>
      <c r="F335" s="597" t="s">
        <v>837</v>
      </c>
      <c r="G335" s="37" t="s">
        <v>846</v>
      </c>
      <c r="H335" s="518">
        <v>34</v>
      </c>
      <c r="I335" s="299">
        <v>13340</v>
      </c>
      <c r="J335" s="36">
        <f>(28384+16500)/2*1.16</f>
        <v>26032.719999999998</v>
      </c>
      <c r="K335" s="39"/>
      <c r="L335" s="419">
        <f t="shared" si="17"/>
        <v>453560</v>
      </c>
      <c r="M335" s="17"/>
      <c r="N335" s="129"/>
    </row>
    <row r="336" spans="1:14" ht="14.25">
      <c r="A336" t="s">
        <v>841</v>
      </c>
      <c r="B336" s="196">
        <v>1</v>
      </c>
      <c r="C336" s="196">
        <v>2</v>
      </c>
      <c r="D336" s="207">
        <v>5000</v>
      </c>
      <c r="E336" s="206">
        <v>59943750</v>
      </c>
      <c r="F336" s="701" t="s">
        <v>838</v>
      </c>
      <c r="G336" s="37" t="s">
        <v>846</v>
      </c>
      <c r="H336" s="706">
        <v>2586</v>
      </c>
      <c r="I336" s="299">
        <v>8120</v>
      </c>
      <c r="J336" s="36">
        <v>9570</v>
      </c>
      <c r="K336" s="39">
        <v>4294088</v>
      </c>
      <c r="L336" s="419">
        <f t="shared" si="17"/>
        <v>20998320</v>
      </c>
      <c r="M336" s="17"/>
      <c r="N336" s="129"/>
    </row>
    <row r="337" spans="1:14" ht="14.25">
      <c r="A337" t="s">
        <v>840</v>
      </c>
      <c r="B337" s="196">
        <v>1</v>
      </c>
      <c r="C337" s="196">
        <v>2</v>
      </c>
      <c r="D337" s="207">
        <v>1690</v>
      </c>
      <c r="E337" s="206">
        <v>16173300</v>
      </c>
      <c r="F337" s="701" t="s">
        <v>839</v>
      </c>
      <c r="G337" s="37" t="s">
        <v>846</v>
      </c>
      <c r="H337" s="707">
        <v>4052</v>
      </c>
      <c r="I337" s="299">
        <v>9628</v>
      </c>
      <c r="J337" s="36"/>
      <c r="K337" s="39"/>
      <c r="L337" s="419">
        <f t="shared" si="17"/>
        <v>39012656</v>
      </c>
      <c r="M337" s="17"/>
      <c r="N337" s="129"/>
    </row>
    <row r="338" spans="1:14" ht="14.25">
      <c r="A338" t="s">
        <v>1090</v>
      </c>
      <c r="B338" s="196">
        <v>1</v>
      </c>
      <c r="C338" s="196">
        <v>2</v>
      </c>
      <c r="D338" s="207">
        <v>100</v>
      </c>
      <c r="E338" s="206">
        <v>11059961</v>
      </c>
      <c r="F338" s="661" t="s">
        <v>844</v>
      </c>
      <c r="G338" s="37" t="s">
        <v>748</v>
      </c>
      <c r="H338" s="715">
        <f>20*0</f>
        <v>0</v>
      </c>
      <c r="I338" s="36">
        <f>(H338*6%)+H338</f>
        <v>0</v>
      </c>
      <c r="J338" s="36">
        <f>(I338*6%)+I338</f>
        <v>0</v>
      </c>
      <c r="K338" s="39">
        <v>986000</v>
      </c>
      <c r="L338" s="419">
        <v>0</v>
      </c>
      <c r="M338" s="17"/>
      <c r="N338" s="129"/>
    </row>
    <row r="339" spans="1:14" ht="14.25">
      <c r="A339" t="s">
        <v>1090</v>
      </c>
      <c r="B339" s="196">
        <v>1</v>
      </c>
      <c r="C339" s="196">
        <v>2</v>
      </c>
      <c r="D339" s="207">
        <v>0</v>
      </c>
      <c r="E339" s="206">
        <v>0</v>
      </c>
      <c r="F339" s="33" t="s">
        <v>836</v>
      </c>
      <c r="G339" s="37" t="s">
        <v>846</v>
      </c>
      <c r="H339" s="719">
        <v>690</v>
      </c>
      <c r="I339" s="299">
        <v>8120</v>
      </c>
      <c r="J339" s="36">
        <v>8410</v>
      </c>
      <c r="K339" s="39">
        <v>9814064</v>
      </c>
      <c r="L339" s="419">
        <f aca="true" t="shared" si="18" ref="L339:L370">H339*I339</f>
        <v>5602800</v>
      </c>
      <c r="M339" s="17"/>
      <c r="N339" s="129"/>
    </row>
    <row r="340" spans="1:14" ht="14.25">
      <c r="A340" t="s">
        <v>1090</v>
      </c>
      <c r="B340" s="196">
        <v>1</v>
      </c>
      <c r="C340" s="196">
        <v>2</v>
      </c>
      <c r="D340" s="207">
        <v>200</v>
      </c>
      <c r="E340" s="206">
        <v>75400</v>
      </c>
      <c r="F340" s="33" t="s">
        <v>845</v>
      </c>
      <c r="G340" s="37" t="s">
        <v>761</v>
      </c>
      <c r="H340" s="715">
        <f>58*0</f>
        <v>0</v>
      </c>
      <c r="I340" s="727">
        <f>(H340*6%)+H340</f>
        <v>0</v>
      </c>
      <c r="J340" s="36">
        <f>(I340*6%)+I340</f>
        <v>0</v>
      </c>
      <c r="K340" s="39">
        <v>95328</v>
      </c>
      <c r="L340" s="419">
        <f t="shared" si="18"/>
        <v>0</v>
      </c>
      <c r="M340" s="17"/>
      <c r="N340" s="129"/>
    </row>
    <row r="341" spans="1:14" ht="15">
      <c r="A341" t="s">
        <v>1099</v>
      </c>
      <c r="B341" s="196">
        <v>1</v>
      </c>
      <c r="C341" s="196">
        <v>2</v>
      </c>
      <c r="D341" s="207">
        <v>150</v>
      </c>
      <c r="E341" s="206">
        <v>80550</v>
      </c>
      <c r="F341" s="661" t="s">
        <v>450</v>
      </c>
      <c r="G341" s="37" t="s">
        <v>509</v>
      </c>
      <c r="H341" s="409">
        <v>1066857</v>
      </c>
      <c r="I341" s="726">
        <v>140.6</v>
      </c>
      <c r="J341" s="36"/>
      <c r="K341" s="39"/>
      <c r="L341" s="419">
        <f t="shared" si="18"/>
        <v>150000094.2</v>
      </c>
      <c r="M341" s="17"/>
      <c r="N341" s="129"/>
    </row>
    <row r="342" spans="1:14" ht="14.25">
      <c r="A342" t="s">
        <v>1096</v>
      </c>
      <c r="B342" s="196">
        <v>1</v>
      </c>
      <c r="C342" s="196">
        <v>2</v>
      </c>
      <c r="D342" s="207">
        <v>5</v>
      </c>
      <c r="E342" s="206">
        <v>1798</v>
      </c>
      <c r="F342" s="597" t="s">
        <v>355</v>
      </c>
      <c r="G342" s="37"/>
      <c r="H342" s="708">
        <v>5</v>
      </c>
      <c r="I342" s="727">
        <f>280*1.16</f>
        <v>324.79999999999995</v>
      </c>
      <c r="J342" s="36">
        <f>280*1.16</f>
        <v>324.79999999999995</v>
      </c>
      <c r="K342" s="39"/>
      <c r="L342" s="419">
        <f t="shared" si="18"/>
        <v>1623.9999999999998</v>
      </c>
      <c r="M342" s="17"/>
      <c r="N342" s="129"/>
    </row>
    <row r="343" spans="1:14" ht="14.25">
      <c r="A343" t="s">
        <v>1096</v>
      </c>
      <c r="B343" s="196"/>
      <c r="C343" s="196"/>
      <c r="D343" s="207"/>
      <c r="E343" s="206"/>
      <c r="F343" s="663" t="s">
        <v>354</v>
      </c>
      <c r="G343" s="37"/>
      <c r="H343" s="708">
        <v>5</v>
      </c>
      <c r="I343" s="727">
        <f>310*1.16</f>
        <v>359.59999999999997</v>
      </c>
      <c r="J343" s="36">
        <f>310*1.16</f>
        <v>359.59999999999997</v>
      </c>
      <c r="K343" s="39"/>
      <c r="L343" s="419">
        <f t="shared" si="18"/>
        <v>1797.9999999999998</v>
      </c>
      <c r="M343" s="17"/>
      <c r="N343" s="129"/>
    </row>
    <row r="344" spans="1:14" ht="14.25">
      <c r="A344" t="s">
        <v>1090</v>
      </c>
      <c r="B344" s="196">
        <v>1</v>
      </c>
      <c r="C344" s="196">
        <v>2</v>
      </c>
      <c r="D344" s="207">
        <v>680</v>
      </c>
      <c r="E344" s="206">
        <v>7481360</v>
      </c>
      <c r="F344" s="662" t="s">
        <v>835</v>
      </c>
      <c r="G344" s="37" t="s">
        <v>846</v>
      </c>
      <c r="H344" s="518">
        <v>1121</v>
      </c>
      <c r="I344">
        <v>9280</v>
      </c>
      <c r="J344" s="36">
        <v>9918</v>
      </c>
      <c r="K344" s="39">
        <v>17362207.2</v>
      </c>
      <c r="L344" s="419">
        <f t="shared" si="18"/>
        <v>10402880</v>
      </c>
      <c r="M344" s="17"/>
      <c r="N344" s="129"/>
    </row>
    <row r="345" spans="1:14" ht="14.25">
      <c r="A345" t="s">
        <v>1090</v>
      </c>
      <c r="B345" s="196">
        <v>1</v>
      </c>
      <c r="C345" s="196">
        <v>2</v>
      </c>
      <c r="D345" s="207">
        <v>5</v>
      </c>
      <c r="E345" s="206">
        <v>1624</v>
      </c>
      <c r="F345" s="661" t="s">
        <v>68</v>
      </c>
      <c r="G345" s="37" t="s">
        <v>846</v>
      </c>
      <c r="H345" s="127">
        <v>2</v>
      </c>
      <c r="I345" s="36">
        <v>49000</v>
      </c>
      <c r="J345" s="36">
        <v>43000</v>
      </c>
      <c r="K345" s="39"/>
      <c r="L345" s="419">
        <f t="shared" si="18"/>
        <v>98000</v>
      </c>
      <c r="M345" s="17"/>
      <c r="N345" s="129"/>
    </row>
    <row r="346" spans="1:14" ht="15">
      <c r="A346" t="s">
        <v>1098</v>
      </c>
      <c r="B346" s="196">
        <v>1</v>
      </c>
      <c r="C346" s="196">
        <v>2</v>
      </c>
      <c r="D346" s="207">
        <v>40</v>
      </c>
      <c r="E346" s="206">
        <v>176320</v>
      </c>
      <c r="F346" s="661" t="s">
        <v>166</v>
      </c>
      <c r="G346" s="37" t="s">
        <v>761</v>
      </c>
      <c r="H346" s="707">
        <v>22</v>
      </c>
      <c r="I346" s="276">
        <v>622.92</v>
      </c>
      <c r="J346" s="36"/>
      <c r="K346" s="39"/>
      <c r="L346" s="419">
        <f t="shared" si="18"/>
        <v>13704.24</v>
      </c>
      <c r="M346" s="17"/>
      <c r="N346" s="129"/>
    </row>
    <row r="347" spans="1:14" ht="14.25">
      <c r="A347" t="s">
        <v>1097</v>
      </c>
      <c r="B347" s="196">
        <v>1</v>
      </c>
      <c r="C347" s="196">
        <v>2</v>
      </c>
      <c r="D347" s="207">
        <v>2000</v>
      </c>
      <c r="E347" s="206">
        <v>6090000</v>
      </c>
      <c r="F347" s="33" t="s">
        <v>265</v>
      </c>
      <c r="G347" s="37" t="s">
        <v>761</v>
      </c>
      <c r="H347" s="127">
        <v>40</v>
      </c>
      <c r="I347" s="36">
        <f>(3800*1.16)</f>
        <v>4408</v>
      </c>
      <c r="J347" s="36">
        <f>(3800*1.16)</f>
        <v>4408</v>
      </c>
      <c r="K347" s="39">
        <f>I347*H347</f>
        <v>176320</v>
      </c>
      <c r="L347" s="419">
        <f t="shared" si="18"/>
        <v>176320</v>
      </c>
      <c r="M347" s="17"/>
      <c r="N347" s="129"/>
    </row>
    <row r="348" spans="1:14" ht="15">
      <c r="A348" t="s">
        <v>1097</v>
      </c>
      <c r="B348" s="196">
        <v>1</v>
      </c>
      <c r="C348" s="196">
        <v>2</v>
      </c>
      <c r="D348" s="207">
        <v>0</v>
      </c>
      <c r="E348" s="206">
        <v>0</v>
      </c>
      <c r="F348" s="33" t="s">
        <v>692</v>
      </c>
      <c r="G348" s="37" t="s">
        <v>761</v>
      </c>
      <c r="H348">
        <v>1000</v>
      </c>
      <c r="I348" s="276">
        <v>3045</v>
      </c>
      <c r="J348" s="36">
        <v>2985.84</v>
      </c>
      <c r="K348" s="39">
        <f>I348*H348</f>
        <v>3045000</v>
      </c>
      <c r="L348" s="419">
        <f t="shared" si="18"/>
        <v>3045000</v>
      </c>
      <c r="M348" s="17"/>
      <c r="N348" s="129"/>
    </row>
    <row r="349" spans="1:14" ht="15">
      <c r="A349" t="s">
        <v>547</v>
      </c>
      <c r="B349" s="196"/>
      <c r="C349" s="196"/>
      <c r="D349" s="207">
        <v>121900</v>
      </c>
      <c r="E349" s="206">
        <v>17139140</v>
      </c>
      <c r="F349" s="33" t="s">
        <v>1689</v>
      </c>
      <c r="G349" s="37" t="s">
        <v>847</v>
      </c>
      <c r="H349" s="299">
        <v>410</v>
      </c>
      <c r="I349" s="276">
        <v>2343.39</v>
      </c>
      <c r="J349" s="36">
        <f>(2190.08+23100)/2*1.16</f>
        <v>14668.2464</v>
      </c>
      <c r="K349" s="39">
        <v>234030</v>
      </c>
      <c r="L349" s="419">
        <f t="shared" si="18"/>
        <v>960789.8999999999</v>
      </c>
      <c r="M349" s="17"/>
      <c r="N349" s="129"/>
    </row>
    <row r="350" spans="1:14" ht="14.25">
      <c r="A350" t="s">
        <v>548</v>
      </c>
      <c r="B350" s="196">
        <v>1</v>
      </c>
      <c r="C350" s="196">
        <v>2</v>
      </c>
      <c r="D350" s="207">
        <v>410</v>
      </c>
      <c r="E350" s="206">
        <v>960789.9</v>
      </c>
      <c r="F350" s="33" t="s">
        <v>273</v>
      </c>
      <c r="G350" s="37" t="s">
        <v>848</v>
      </c>
      <c r="H350" s="518">
        <v>345</v>
      </c>
      <c r="I350" s="299">
        <v>1501.04</v>
      </c>
      <c r="J350" s="36">
        <v>173.28</v>
      </c>
      <c r="K350" s="39">
        <v>807128</v>
      </c>
      <c r="L350" s="419">
        <f t="shared" si="18"/>
        <v>517858.8</v>
      </c>
      <c r="M350" s="17"/>
      <c r="N350" s="129"/>
    </row>
    <row r="351" spans="1:14" ht="15">
      <c r="A351" s="693" t="s">
        <v>162</v>
      </c>
      <c r="B351" s="196">
        <v>1</v>
      </c>
      <c r="C351" s="196">
        <v>2</v>
      </c>
      <c r="D351" s="207">
        <v>1000</v>
      </c>
      <c r="E351" s="206">
        <v>1344220</v>
      </c>
      <c r="F351" s="33" t="s">
        <v>678</v>
      </c>
      <c r="G351" s="37" t="s">
        <v>274</v>
      </c>
      <c r="H351" s="706">
        <v>259</v>
      </c>
      <c r="I351" s="276">
        <v>2012.6</v>
      </c>
      <c r="J351" s="36">
        <v>5000</v>
      </c>
      <c r="K351" s="39"/>
      <c r="L351" s="419">
        <f t="shared" si="18"/>
        <v>521263.39999999997</v>
      </c>
      <c r="M351" s="17"/>
      <c r="N351" s="129"/>
    </row>
    <row r="352" spans="1:14" ht="15">
      <c r="A352" t="s">
        <v>1291</v>
      </c>
      <c r="B352" s="196"/>
      <c r="C352" s="196"/>
      <c r="D352" s="207">
        <v>100</v>
      </c>
      <c r="E352" s="206">
        <v>10324000</v>
      </c>
      <c r="F352" s="33" t="s">
        <v>1687</v>
      </c>
      <c r="G352" s="37" t="s">
        <v>649</v>
      </c>
      <c r="H352" s="413">
        <v>50</v>
      </c>
      <c r="I352" s="276">
        <v>110599.61</v>
      </c>
      <c r="J352" s="36">
        <v>103364.12</v>
      </c>
      <c r="K352" s="39">
        <f>I352*H352</f>
        <v>5529980.5</v>
      </c>
      <c r="L352" s="419">
        <f t="shared" si="18"/>
        <v>5529980.5</v>
      </c>
      <c r="M352" s="17"/>
      <c r="N352" s="129">
        <f>150000000/I351</f>
        <v>74530.45811388255</v>
      </c>
    </row>
    <row r="353" spans="1:19" ht="15">
      <c r="A353" t="s">
        <v>554</v>
      </c>
      <c r="B353" s="196">
        <v>1</v>
      </c>
      <c r="C353" s="196">
        <v>2</v>
      </c>
      <c r="D353" s="207">
        <v>2400</v>
      </c>
      <c r="E353" s="206">
        <v>6240000</v>
      </c>
      <c r="F353" s="33" t="s">
        <v>451</v>
      </c>
      <c r="G353" s="37" t="s">
        <v>649</v>
      </c>
      <c r="H353" s="518">
        <v>7</v>
      </c>
      <c r="I353" s="726">
        <v>49366.12</v>
      </c>
      <c r="J353" s="36">
        <v>96904.08</v>
      </c>
      <c r="K353" s="39">
        <v>373520</v>
      </c>
      <c r="L353" s="419">
        <f t="shared" si="18"/>
        <v>345562.84</v>
      </c>
      <c r="M353" s="17"/>
      <c r="N353" s="129"/>
      <c r="Q353" s="513">
        <v>7</v>
      </c>
      <c r="R353" s="513">
        <v>3600</v>
      </c>
      <c r="S353" s="513">
        <f>+Q353*R353</f>
        <v>25200</v>
      </c>
    </row>
    <row r="354" spans="1:14" ht="15">
      <c r="A354" s="409" t="s">
        <v>1291</v>
      </c>
      <c r="B354" s="196">
        <v>1</v>
      </c>
      <c r="C354" s="196">
        <v>2</v>
      </c>
      <c r="D354" s="207">
        <v>2000</v>
      </c>
      <c r="E354" s="206">
        <v>2452620</v>
      </c>
      <c r="F354" s="33" t="s">
        <v>691</v>
      </c>
      <c r="G354" s="37" t="s">
        <v>649</v>
      </c>
      <c r="H354" s="409">
        <v>1600</v>
      </c>
      <c r="I354" s="276">
        <v>2600</v>
      </c>
      <c r="J354" s="36">
        <v>96904.08</v>
      </c>
      <c r="K354" s="39">
        <v>373520</v>
      </c>
      <c r="L354" s="419">
        <f t="shared" si="18"/>
        <v>4160000</v>
      </c>
      <c r="M354" s="17"/>
      <c r="N354" s="129"/>
    </row>
    <row r="355" spans="1:15" ht="15.75">
      <c r="A355" t="s">
        <v>1093</v>
      </c>
      <c r="B355" s="196">
        <v>1</v>
      </c>
      <c r="C355" s="196">
        <v>2</v>
      </c>
      <c r="D355" s="207">
        <v>60</v>
      </c>
      <c r="E355" s="206">
        <v>300000</v>
      </c>
      <c r="F355" s="33" t="s">
        <v>275</v>
      </c>
      <c r="G355" s="37" t="s">
        <v>851</v>
      </c>
      <c r="H355">
        <v>1100</v>
      </c>
      <c r="I355" s="501">
        <v>2320</v>
      </c>
      <c r="J355" s="36">
        <v>1388.52</v>
      </c>
      <c r="K355" s="39">
        <v>454894</v>
      </c>
      <c r="L355" s="419">
        <f t="shared" si="18"/>
        <v>2552000</v>
      </c>
      <c r="M355" s="17"/>
      <c r="N355" s="498">
        <v>2155.28</v>
      </c>
      <c r="O355" s="497" t="s">
        <v>963</v>
      </c>
    </row>
    <row r="356" spans="1:14" ht="15">
      <c r="A356" t="s">
        <v>549</v>
      </c>
      <c r="B356" s="196">
        <v>1</v>
      </c>
      <c r="C356" s="196">
        <v>2</v>
      </c>
      <c r="D356" s="207">
        <v>1000</v>
      </c>
      <c r="E356" s="206">
        <v>1480750</v>
      </c>
      <c r="F356" s="33" t="s">
        <v>163</v>
      </c>
      <c r="G356" s="37" t="s">
        <v>276</v>
      </c>
      <c r="H356" s="518">
        <v>172</v>
      </c>
      <c r="I356" s="276">
        <v>2534.6</v>
      </c>
      <c r="J356" s="36">
        <v>1464</v>
      </c>
      <c r="K356" s="39"/>
      <c r="L356" s="419">
        <f t="shared" si="18"/>
        <v>435951.2</v>
      </c>
      <c r="M356" s="17"/>
      <c r="N356" s="129"/>
    </row>
    <row r="357" spans="1:15" ht="15.75">
      <c r="A357" t="s">
        <v>1222</v>
      </c>
      <c r="B357" s="196">
        <v>1</v>
      </c>
      <c r="C357" s="196">
        <v>2</v>
      </c>
      <c r="D357" s="207">
        <v>350</v>
      </c>
      <c r="E357" s="206">
        <v>700000</v>
      </c>
      <c r="F357" s="117" t="s">
        <v>164</v>
      </c>
      <c r="G357" s="37" t="s">
        <v>649</v>
      </c>
      <c r="H357" s="518">
        <v>1207</v>
      </c>
      <c r="I357">
        <v>632.2</v>
      </c>
      <c r="J357" s="36">
        <v>603.2</v>
      </c>
      <c r="K357" s="39">
        <v>1134480</v>
      </c>
      <c r="L357" s="419">
        <f t="shared" si="18"/>
        <v>763065.4</v>
      </c>
      <c r="M357" s="17"/>
      <c r="N357" s="498">
        <v>2320</v>
      </c>
      <c r="O357" s="497" t="s">
        <v>963</v>
      </c>
    </row>
    <row r="358" spans="1:19" ht="15">
      <c r="A358" t="s">
        <v>286</v>
      </c>
      <c r="B358" s="196">
        <v>1</v>
      </c>
      <c r="C358" s="196">
        <v>2</v>
      </c>
      <c r="D358" s="207">
        <v>2600</v>
      </c>
      <c r="E358" s="206">
        <v>1678092</v>
      </c>
      <c r="F358" s="453" t="s">
        <v>617</v>
      </c>
      <c r="G358" s="37" t="s">
        <v>649</v>
      </c>
      <c r="H358">
        <v>2</v>
      </c>
      <c r="I358" s="276">
        <v>7279000</v>
      </c>
      <c r="J358" s="36"/>
      <c r="K358" s="39"/>
      <c r="L358" s="419">
        <f t="shared" si="18"/>
        <v>14558000</v>
      </c>
      <c r="M358" s="17"/>
      <c r="N358" s="129"/>
      <c r="Q358" s="513">
        <v>50</v>
      </c>
      <c r="R358" s="513">
        <v>1200</v>
      </c>
      <c r="S358" s="513">
        <f>+Q358*R358</f>
        <v>60000</v>
      </c>
    </row>
    <row r="359" spans="1:14" ht="14.25">
      <c r="A359" t="s">
        <v>1221</v>
      </c>
      <c r="B359" s="196">
        <v>1</v>
      </c>
      <c r="C359" s="196">
        <v>2</v>
      </c>
      <c r="D359" s="207">
        <v>1700</v>
      </c>
      <c r="E359" s="206">
        <v>983756</v>
      </c>
      <c r="F359" s="33" t="s">
        <v>775</v>
      </c>
      <c r="G359" s="37"/>
      <c r="H359" s="720">
        <f>1*0</f>
        <v>0</v>
      </c>
      <c r="I359" s="727">
        <f>(430100*1.16)</f>
        <v>498915.99999999994</v>
      </c>
      <c r="J359" s="36">
        <f>(430100*1.16)</f>
        <v>498915.99999999994</v>
      </c>
      <c r="K359" s="39"/>
      <c r="L359" s="419">
        <f t="shared" si="18"/>
        <v>0</v>
      </c>
      <c r="M359" s="17"/>
      <c r="N359" s="129"/>
    </row>
    <row r="360" spans="1:19" ht="15" thickBot="1">
      <c r="A360" t="s">
        <v>1490</v>
      </c>
      <c r="B360" s="196"/>
      <c r="C360" s="196"/>
      <c r="D360" s="207"/>
      <c r="E360" s="206"/>
      <c r="F360" s="33" t="s">
        <v>1489</v>
      </c>
      <c r="G360" s="37"/>
      <c r="H360" s="518">
        <v>26</v>
      </c>
      <c r="I360" s="299">
        <v>407.16</v>
      </c>
      <c r="J360" s="36">
        <v>480</v>
      </c>
      <c r="K360" s="39"/>
      <c r="L360" s="419">
        <f t="shared" si="18"/>
        <v>10586.16</v>
      </c>
      <c r="M360" s="17"/>
      <c r="N360" s="129"/>
      <c r="Q360" s="513">
        <v>8</v>
      </c>
      <c r="R360" s="513">
        <v>2400</v>
      </c>
      <c r="S360" s="513">
        <f>+Q360*R360</f>
        <v>19200</v>
      </c>
    </row>
    <row r="361" spans="1:19" ht="14.25">
      <c r="A361" t="s">
        <v>1290</v>
      </c>
      <c r="B361" s="196">
        <v>1</v>
      </c>
      <c r="C361" s="196">
        <v>2</v>
      </c>
      <c r="D361" s="207">
        <v>70</v>
      </c>
      <c r="E361" s="206">
        <v>33600</v>
      </c>
      <c r="F361" s="33" t="s">
        <v>165</v>
      </c>
      <c r="G361" s="37" t="s">
        <v>649</v>
      </c>
      <c r="H361" s="707">
        <v>1121</v>
      </c>
      <c r="I361" s="36">
        <v>660.04</v>
      </c>
      <c r="J361" s="36">
        <v>734.28</v>
      </c>
      <c r="K361" s="39">
        <v>1993632.84</v>
      </c>
      <c r="L361" s="419">
        <f t="shared" si="18"/>
        <v>739904.84</v>
      </c>
      <c r="M361" s="17"/>
      <c r="N361" s="129"/>
      <c r="Q361" s="503">
        <v>25</v>
      </c>
      <c r="R361" s="503">
        <v>2160</v>
      </c>
      <c r="S361" s="503">
        <f>+Q361*R361</f>
        <v>54000</v>
      </c>
    </row>
    <row r="362" spans="1:14" ht="14.25">
      <c r="A362" t="s">
        <v>244</v>
      </c>
      <c r="B362" s="196">
        <v>1</v>
      </c>
      <c r="C362" s="196">
        <v>2</v>
      </c>
      <c r="D362" s="207">
        <v>0</v>
      </c>
      <c r="E362" s="206">
        <v>0</v>
      </c>
      <c r="F362" s="117" t="s">
        <v>852</v>
      </c>
      <c r="G362" s="37" t="s">
        <v>751</v>
      </c>
      <c r="H362" s="275">
        <v>0</v>
      </c>
      <c r="I362" s="36">
        <f>(H362*6%)+H362</f>
        <v>0</v>
      </c>
      <c r="J362" s="36">
        <f>(I362*6%)+I362</f>
        <v>0</v>
      </c>
      <c r="K362" s="39">
        <f>I362*H362</f>
        <v>0</v>
      </c>
      <c r="L362" s="419">
        <f t="shared" si="18"/>
        <v>0</v>
      </c>
      <c r="M362" s="17"/>
      <c r="N362" s="129"/>
    </row>
    <row r="363" spans="1:14" ht="14.25">
      <c r="A363" t="s">
        <v>1221</v>
      </c>
      <c r="B363" s="196">
        <v>1</v>
      </c>
      <c r="C363" s="196">
        <v>2</v>
      </c>
      <c r="D363" s="207">
        <v>0</v>
      </c>
      <c r="E363" s="206">
        <v>0</v>
      </c>
      <c r="F363" s="403" t="s">
        <v>454</v>
      </c>
      <c r="G363" s="37"/>
      <c r="H363" s="275">
        <v>5</v>
      </c>
      <c r="I363" s="36">
        <v>430100</v>
      </c>
      <c r="J363" s="36">
        <v>430100</v>
      </c>
      <c r="K363" s="39"/>
      <c r="L363" s="419">
        <f t="shared" si="18"/>
        <v>2150500</v>
      </c>
      <c r="M363" s="17"/>
      <c r="N363" s="129"/>
    </row>
    <row r="364" spans="1:14" ht="14.25">
      <c r="A364" t="s">
        <v>1221</v>
      </c>
      <c r="B364" s="196">
        <v>1</v>
      </c>
      <c r="C364" s="196">
        <v>2</v>
      </c>
      <c r="D364" s="207">
        <v>100</v>
      </c>
      <c r="E364" s="206">
        <v>6806989</v>
      </c>
      <c r="F364" s="701" t="s">
        <v>168</v>
      </c>
      <c r="G364" s="37" t="s">
        <v>748</v>
      </c>
      <c r="H364" s="706">
        <v>78</v>
      </c>
      <c r="I364" s="299">
        <v>63.22</v>
      </c>
      <c r="J364" s="36"/>
      <c r="K364" s="39"/>
      <c r="L364" s="419">
        <f t="shared" si="18"/>
        <v>4931.16</v>
      </c>
      <c r="M364" s="17"/>
      <c r="N364" s="129"/>
    </row>
    <row r="365" spans="1:14" ht="14.25">
      <c r="A365" t="s">
        <v>550</v>
      </c>
      <c r="B365" s="196">
        <v>1</v>
      </c>
      <c r="C365" s="196">
        <v>2</v>
      </c>
      <c r="D365" s="207">
        <v>0</v>
      </c>
      <c r="E365" s="206">
        <v>0</v>
      </c>
      <c r="F365" s="33" t="s">
        <v>277</v>
      </c>
      <c r="G365" s="37" t="s">
        <v>649</v>
      </c>
      <c r="H365" s="409">
        <v>50000</v>
      </c>
      <c r="I365" s="36">
        <v>42</v>
      </c>
      <c r="J365" s="36">
        <v>41.76</v>
      </c>
      <c r="K365" s="39">
        <v>2088000</v>
      </c>
      <c r="L365" s="419">
        <f t="shared" si="18"/>
        <v>2100000</v>
      </c>
      <c r="M365" s="17"/>
      <c r="N365" s="129"/>
    </row>
    <row r="366" spans="1:19" ht="15">
      <c r="A366" s="409" t="s">
        <v>179</v>
      </c>
      <c r="B366" s="196">
        <v>1</v>
      </c>
      <c r="C366" s="196">
        <v>2</v>
      </c>
      <c r="D366" s="207">
        <v>100000</v>
      </c>
      <c r="E366" s="206">
        <v>4200000</v>
      </c>
      <c r="F366" s="33" t="s">
        <v>178</v>
      </c>
      <c r="G366" s="37" t="s">
        <v>649</v>
      </c>
      <c r="H366" s="518">
        <v>20690</v>
      </c>
      <c r="I366" s="726">
        <v>44</v>
      </c>
      <c r="J366" s="36">
        <v>37.12</v>
      </c>
      <c r="K366" s="39">
        <v>1997346</v>
      </c>
      <c r="L366" s="419">
        <f t="shared" si="18"/>
        <v>910360</v>
      </c>
      <c r="M366" s="17"/>
      <c r="N366" s="129"/>
      <c r="Q366" s="513">
        <v>1000</v>
      </c>
      <c r="R366" s="513">
        <v>120</v>
      </c>
      <c r="S366" s="513">
        <f>+Q366*R366</f>
        <v>120000</v>
      </c>
    </row>
    <row r="367" spans="1:19" ht="14.25">
      <c r="A367" s="521" t="s">
        <v>172</v>
      </c>
      <c r="B367" s="196">
        <v>1</v>
      </c>
      <c r="C367" s="196">
        <v>2</v>
      </c>
      <c r="D367" s="207">
        <v>40000</v>
      </c>
      <c r="E367" s="206">
        <v>1760000</v>
      </c>
      <c r="F367" s="33" t="s">
        <v>169</v>
      </c>
      <c r="G367" s="37" t="s">
        <v>649</v>
      </c>
      <c r="H367" s="518">
        <v>36207</v>
      </c>
      <c r="I367" s="299">
        <v>54.52</v>
      </c>
      <c r="J367" s="36">
        <v>41.76</v>
      </c>
      <c r="K367" s="39">
        <v>77720</v>
      </c>
      <c r="L367" s="419">
        <f t="shared" si="18"/>
        <v>1974005.6400000001</v>
      </c>
      <c r="M367" s="17"/>
      <c r="N367" s="129"/>
      <c r="Q367" s="513">
        <v>500</v>
      </c>
      <c r="R367" s="513">
        <v>240</v>
      </c>
      <c r="S367" s="513">
        <f>+Q367*R367</f>
        <v>120000</v>
      </c>
    </row>
    <row r="368" spans="1:19" ht="15">
      <c r="A368" s="521" t="s">
        <v>173</v>
      </c>
      <c r="B368" s="196">
        <v>1</v>
      </c>
      <c r="C368" s="196">
        <v>2</v>
      </c>
      <c r="D368" s="207">
        <v>43000</v>
      </c>
      <c r="E368" s="206">
        <v>1849000</v>
      </c>
      <c r="F368" s="33" t="s">
        <v>170</v>
      </c>
      <c r="G368" s="37" t="s">
        <v>649</v>
      </c>
      <c r="H368" s="518">
        <v>47414</v>
      </c>
      <c r="I368" s="726">
        <v>66.12</v>
      </c>
      <c r="J368" s="36">
        <v>51.04</v>
      </c>
      <c r="K368" s="39">
        <v>166958.22</v>
      </c>
      <c r="L368" s="419">
        <f t="shared" si="18"/>
        <v>3135013.68</v>
      </c>
      <c r="M368" s="17"/>
      <c r="N368" s="129"/>
      <c r="Q368" s="513">
        <v>200</v>
      </c>
      <c r="R368" s="513">
        <v>360</v>
      </c>
      <c r="S368" s="513">
        <f>+Q368*R368</f>
        <v>72000</v>
      </c>
    </row>
    <row r="369" spans="1:14" ht="14.25">
      <c r="A369" s="521" t="s">
        <v>174</v>
      </c>
      <c r="B369" s="196">
        <v>1</v>
      </c>
      <c r="C369" s="196">
        <v>2</v>
      </c>
      <c r="D369" s="207">
        <v>60000</v>
      </c>
      <c r="E369" s="206">
        <v>3351000</v>
      </c>
      <c r="F369" s="33" t="s">
        <v>171</v>
      </c>
      <c r="G369" s="37" t="s">
        <v>649</v>
      </c>
      <c r="H369" s="518">
        <v>10991</v>
      </c>
      <c r="I369" s="299">
        <v>69.6</v>
      </c>
      <c r="J369" s="36">
        <v>47.56</v>
      </c>
      <c r="K369" s="39">
        <v>98532.72</v>
      </c>
      <c r="L369" s="419">
        <f t="shared" si="18"/>
        <v>764973.6</v>
      </c>
      <c r="M369" s="17"/>
      <c r="N369" s="129"/>
    </row>
    <row r="370" spans="1:14" ht="15">
      <c r="A370" s="694" t="s">
        <v>176</v>
      </c>
      <c r="B370" s="196">
        <v>1</v>
      </c>
      <c r="C370" s="196">
        <v>2</v>
      </c>
      <c r="D370" s="207">
        <v>15000</v>
      </c>
      <c r="E370" s="206">
        <v>1005300</v>
      </c>
      <c r="F370" s="33" t="s">
        <v>175</v>
      </c>
      <c r="G370" s="37" t="s">
        <v>649</v>
      </c>
      <c r="H370" s="518">
        <v>4310</v>
      </c>
      <c r="I370" s="276">
        <v>85.84</v>
      </c>
      <c r="J370" s="36">
        <v>78.88</v>
      </c>
      <c r="K370" s="39">
        <v>236494.54</v>
      </c>
      <c r="L370" s="419">
        <f t="shared" si="18"/>
        <v>369970.4</v>
      </c>
      <c r="M370" s="17"/>
      <c r="N370" s="129"/>
    </row>
    <row r="371" spans="1:14" ht="15">
      <c r="A371" t="s">
        <v>550</v>
      </c>
      <c r="B371" s="196">
        <v>1</v>
      </c>
      <c r="C371" s="196">
        <v>2</v>
      </c>
      <c r="D371" s="207">
        <v>7000</v>
      </c>
      <c r="E371" s="206">
        <v>595000</v>
      </c>
      <c r="F371" s="33" t="s">
        <v>177</v>
      </c>
      <c r="G371" s="37" t="s">
        <v>649</v>
      </c>
      <c r="H371" s="706">
        <v>2155</v>
      </c>
      <c r="I371" s="726">
        <v>121.8</v>
      </c>
      <c r="J371" s="36">
        <v>102.08</v>
      </c>
      <c r="K371" s="39">
        <v>236494.54</v>
      </c>
      <c r="L371" s="419">
        <f aca="true" t="shared" si="19" ref="L371:L404">H371*I371</f>
        <v>262479</v>
      </c>
      <c r="M371" s="17"/>
      <c r="N371" s="129"/>
    </row>
    <row r="372" spans="1:19" ht="14.25">
      <c r="A372" t="s">
        <v>1221</v>
      </c>
      <c r="B372" s="196">
        <v>1</v>
      </c>
      <c r="C372" s="196">
        <v>2</v>
      </c>
      <c r="D372" s="207">
        <v>7000</v>
      </c>
      <c r="E372" s="206">
        <v>764610</v>
      </c>
      <c r="F372" s="662" t="s">
        <v>167</v>
      </c>
      <c r="G372" s="37" t="s">
        <v>748</v>
      </c>
      <c r="H372" s="712">
        <v>2</v>
      </c>
      <c r="I372">
        <v>104150.6</v>
      </c>
      <c r="J372" s="36">
        <v>54003.8</v>
      </c>
      <c r="K372" s="39">
        <v>2544668.8</v>
      </c>
      <c r="L372" s="419">
        <f t="shared" si="19"/>
        <v>208301.2</v>
      </c>
      <c r="M372" s="17"/>
      <c r="N372" s="129"/>
      <c r="Q372" s="513">
        <v>10</v>
      </c>
      <c r="R372" s="513">
        <v>2200</v>
      </c>
      <c r="S372" s="513">
        <f>+Q372*R372</f>
        <v>22000</v>
      </c>
    </row>
    <row r="373" spans="1:19" ht="14.25">
      <c r="A373" t="s">
        <v>1221</v>
      </c>
      <c r="B373" s="196"/>
      <c r="C373" s="196"/>
      <c r="D373" s="207"/>
      <c r="E373" s="206"/>
      <c r="F373" s="33" t="s">
        <v>455</v>
      </c>
      <c r="G373" s="37"/>
      <c r="H373" s="127">
        <f>100*0</f>
        <v>0</v>
      </c>
      <c r="I373" s="36">
        <v>290</v>
      </c>
      <c r="J373" s="36">
        <v>290</v>
      </c>
      <c r="K373" s="39"/>
      <c r="L373" s="419">
        <f t="shared" si="19"/>
        <v>0</v>
      </c>
      <c r="M373" s="17"/>
      <c r="N373" s="129"/>
      <c r="Q373" s="525"/>
      <c r="R373" s="525"/>
      <c r="S373" s="525"/>
    </row>
    <row r="374" spans="1:14" ht="14.25">
      <c r="A374" t="s">
        <v>914</v>
      </c>
      <c r="B374" s="196"/>
      <c r="C374" s="196"/>
      <c r="D374" s="207"/>
      <c r="E374" s="206"/>
      <c r="F374" s="33" t="s">
        <v>544</v>
      </c>
      <c r="G374" s="37"/>
      <c r="H374" s="455">
        <v>4</v>
      </c>
      <c r="I374" s="36">
        <f>4055360/4</f>
        <v>1013840</v>
      </c>
      <c r="J374" s="36"/>
      <c r="K374" s="39"/>
      <c r="L374" s="419">
        <f t="shared" si="19"/>
        <v>4055360</v>
      </c>
      <c r="M374" s="17"/>
      <c r="N374" s="129"/>
    </row>
    <row r="375" spans="1:14" ht="15">
      <c r="A375" t="s">
        <v>551</v>
      </c>
      <c r="B375" s="196">
        <v>1</v>
      </c>
      <c r="C375" s="196">
        <v>2</v>
      </c>
      <c r="D375" s="207">
        <v>0</v>
      </c>
      <c r="E375" s="206">
        <v>0</v>
      </c>
      <c r="F375" s="33" t="s">
        <v>278</v>
      </c>
      <c r="G375" s="37" t="s">
        <v>772</v>
      </c>
      <c r="H375">
        <v>20</v>
      </c>
      <c r="I375" s="276">
        <v>8914.3</v>
      </c>
      <c r="J375" s="36">
        <v>8331.12</v>
      </c>
      <c r="K375" s="39">
        <v>73706.4</v>
      </c>
      <c r="L375" s="419">
        <f t="shared" si="19"/>
        <v>178286</v>
      </c>
      <c r="M375" s="17"/>
      <c r="N375" s="129"/>
    </row>
    <row r="376" spans="1:19" ht="15">
      <c r="A376" t="s">
        <v>552</v>
      </c>
      <c r="B376" s="196">
        <v>1</v>
      </c>
      <c r="C376" s="196">
        <v>2</v>
      </c>
      <c r="D376" s="207">
        <v>20</v>
      </c>
      <c r="E376" s="206">
        <v>178286</v>
      </c>
      <c r="F376" s="33" t="s">
        <v>180</v>
      </c>
      <c r="G376" s="37" t="s">
        <v>772</v>
      </c>
      <c r="H376" s="131">
        <v>172</v>
      </c>
      <c r="I376" s="276">
        <v>968.6</v>
      </c>
      <c r="J376" s="36">
        <v>932.64</v>
      </c>
      <c r="K376" s="39">
        <v>41006</v>
      </c>
      <c r="L376" s="419">
        <f t="shared" si="19"/>
        <v>166599.2</v>
      </c>
      <c r="M376" s="17"/>
      <c r="N376" s="129"/>
      <c r="Q376" s="513">
        <v>3</v>
      </c>
      <c r="R376" s="513">
        <v>3000</v>
      </c>
      <c r="S376" s="513">
        <f>+Q376*R376</f>
        <v>9000</v>
      </c>
    </row>
    <row r="377" spans="1:14" ht="15">
      <c r="A377" t="s">
        <v>554</v>
      </c>
      <c r="B377" s="196">
        <v>1</v>
      </c>
      <c r="C377" s="196">
        <v>2</v>
      </c>
      <c r="D377" s="207">
        <v>16</v>
      </c>
      <c r="E377" s="206">
        <v>1100000</v>
      </c>
      <c r="F377" s="661" t="s">
        <v>264</v>
      </c>
      <c r="G377" s="37"/>
      <c r="H377" s="708">
        <f>10*0</f>
        <v>0</v>
      </c>
      <c r="I377" s="736">
        <f>(82500*1.16)</f>
        <v>95700</v>
      </c>
      <c r="J377" s="737">
        <f>(82500*1.16)</f>
        <v>95700</v>
      </c>
      <c r="K377" s="39"/>
      <c r="L377" s="419">
        <f t="shared" si="19"/>
        <v>0</v>
      </c>
      <c r="M377" s="17"/>
      <c r="N377" s="129"/>
    </row>
    <row r="378" spans="1:14" ht="14.25">
      <c r="A378" t="s">
        <v>554</v>
      </c>
      <c r="B378" s="196">
        <v>1</v>
      </c>
      <c r="C378" s="196">
        <v>2</v>
      </c>
      <c r="D378" s="207">
        <v>0</v>
      </c>
      <c r="E378" s="206">
        <v>0</v>
      </c>
      <c r="F378" s="33" t="s">
        <v>456</v>
      </c>
      <c r="G378" s="37"/>
      <c r="H378" s="715">
        <f>1*0</f>
        <v>0</v>
      </c>
      <c r="I378" s="36">
        <v>62000</v>
      </c>
      <c r="J378" s="36"/>
      <c r="K378" s="39"/>
      <c r="L378" s="419">
        <f t="shared" si="19"/>
        <v>0</v>
      </c>
      <c r="M378" s="17"/>
      <c r="N378" s="129"/>
    </row>
    <row r="379" spans="1:14" ht="14.25">
      <c r="A379" t="s">
        <v>554</v>
      </c>
      <c r="B379" s="196">
        <v>1</v>
      </c>
      <c r="C379" s="196">
        <v>2</v>
      </c>
      <c r="D379" s="207">
        <v>0</v>
      </c>
      <c r="E379" s="206">
        <v>0</v>
      </c>
      <c r="F379" s="33" t="s">
        <v>181</v>
      </c>
      <c r="G379" s="37"/>
      <c r="H379" s="518">
        <v>13</v>
      </c>
      <c r="I379" s="501">
        <v>47560</v>
      </c>
      <c r="J379" s="36"/>
      <c r="K379" s="39"/>
      <c r="L379" s="419">
        <f t="shared" si="19"/>
        <v>618280</v>
      </c>
      <c r="M379" s="17"/>
      <c r="N379" s="129"/>
    </row>
    <row r="380" spans="1:14" ht="15">
      <c r="A380" t="s">
        <v>553</v>
      </c>
      <c r="B380" s="196">
        <v>1</v>
      </c>
      <c r="C380" s="196">
        <v>2</v>
      </c>
      <c r="D380" s="207">
        <v>10</v>
      </c>
      <c r="E380" s="206">
        <v>1320326.5</v>
      </c>
      <c r="F380" s="597" t="s">
        <v>312</v>
      </c>
      <c r="G380" s="37" t="s">
        <v>772</v>
      </c>
      <c r="H380" s="518">
        <v>9</v>
      </c>
      <c r="I380" s="731">
        <v>37584</v>
      </c>
      <c r="J380" s="115">
        <f>28000*1.16</f>
        <v>32479.999999999996</v>
      </c>
      <c r="K380" s="39"/>
      <c r="L380" s="419">
        <f t="shared" si="19"/>
        <v>338256</v>
      </c>
      <c r="M380" s="17"/>
      <c r="N380" s="129"/>
    </row>
    <row r="381" spans="1:14" ht="15">
      <c r="A381" t="s">
        <v>553</v>
      </c>
      <c r="B381" s="196">
        <v>1</v>
      </c>
      <c r="C381" s="196">
        <v>2</v>
      </c>
      <c r="D381" s="207">
        <v>40</v>
      </c>
      <c r="E381" s="206">
        <v>1427840</v>
      </c>
      <c r="F381" s="33" t="s">
        <v>854</v>
      </c>
      <c r="G381" s="37" t="s">
        <v>772</v>
      </c>
      <c r="H381" s="409">
        <v>4</v>
      </c>
      <c r="I381" s="276">
        <v>91000</v>
      </c>
      <c r="J381" s="36">
        <v>78179.36</v>
      </c>
      <c r="K381" s="39">
        <f>I381*H381</f>
        <v>364000</v>
      </c>
      <c r="L381" s="419">
        <f t="shared" si="19"/>
        <v>364000</v>
      </c>
      <c r="M381" s="17"/>
      <c r="N381" s="129"/>
    </row>
    <row r="382" spans="1:14" ht="15">
      <c r="A382" t="s">
        <v>553</v>
      </c>
      <c r="B382" s="196">
        <v>1</v>
      </c>
      <c r="C382" s="196">
        <v>2</v>
      </c>
      <c r="D382" s="207">
        <v>260</v>
      </c>
      <c r="E382" s="206">
        <v>349596</v>
      </c>
      <c r="F382" s="33" t="s">
        <v>853</v>
      </c>
      <c r="G382" s="37" t="s">
        <v>772</v>
      </c>
      <c r="H382">
        <v>10</v>
      </c>
      <c r="I382" s="276">
        <v>132032.65</v>
      </c>
      <c r="J382" s="36">
        <v>123395</v>
      </c>
      <c r="K382" s="39">
        <f>I382*H382</f>
        <v>1320326.5</v>
      </c>
      <c r="L382" s="419">
        <f t="shared" si="19"/>
        <v>1320326.5</v>
      </c>
      <c r="M382" s="17"/>
      <c r="N382" s="129"/>
    </row>
    <row r="383" spans="1:14" ht="14.25">
      <c r="A383" t="s">
        <v>553</v>
      </c>
      <c r="B383" s="196"/>
      <c r="C383" s="196"/>
      <c r="D383" s="207"/>
      <c r="E383" s="206"/>
      <c r="F383" s="33" t="s">
        <v>613</v>
      </c>
      <c r="G383" s="37"/>
      <c r="H383" s="721">
        <v>1</v>
      </c>
      <c r="I383" s="36">
        <f>870000*1.16</f>
        <v>1009199.9999999999</v>
      </c>
      <c r="J383" s="36">
        <f>(223*1.16)*1000</f>
        <v>258680</v>
      </c>
      <c r="K383" s="39"/>
      <c r="L383" s="419">
        <f t="shared" si="19"/>
        <v>1009199.9999999999</v>
      </c>
      <c r="M383" s="17"/>
      <c r="N383" s="129"/>
    </row>
    <row r="384" spans="1:14" ht="14.25">
      <c r="A384" t="s">
        <v>553</v>
      </c>
      <c r="B384" s="196"/>
      <c r="C384" s="196"/>
      <c r="D384" s="207"/>
      <c r="E384" s="206"/>
      <c r="F384" s="33" t="s">
        <v>614</v>
      </c>
      <c r="G384" s="37"/>
      <c r="H384" s="720">
        <v>1</v>
      </c>
      <c r="I384" s="727">
        <f>870000*1.16</f>
        <v>1009199.9999999999</v>
      </c>
      <c r="J384" s="36">
        <f>(223*1.16)*1000</f>
        <v>258680</v>
      </c>
      <c r="K384" s="39"/>
      <c r="L384" s="419">
        <f t="shared" si="19"/>
        <v>1009199.9999999999</v>
      </c>
      <c r="M384" s="17"/>
      <c r="N384" s="129"/>
    </row>
    <row r="385" spans="1:14" ht="14.25">
      <c r="A385" t="s">
        <v>553</v>
      </c>
      <c r="B385" s="196"/>
      <c r="C385" s="196"/>
      <c r="D385" s="207"/>
      <c r="E385" s="206"/>
      <c r="F385" s="33" t="s">
        <v>616</v>
      </c>
      <c r="G385" s="37"/>
      <c r="H385" s="721">
        <v>1</v>
      </c>
      <c r="I385" s="36">
        <f>870000*1.16</f>
        <v>1009199.9999999999</v>
      </c>
      <c r="J385" s="36">
        <f>(223*1.16)*1000</f>
        <v>258680</v>
      </c>
      <c r="K385" s="39"/>
      <c r="L385" s="419">
        <f t="shared" si="19"/>
        <v>1009199.9999999999</v>
      </c>
      <c r="M385" s="17"/>
      <c r="N385" s="129"/>
    </row>
    <row r="386" spans="1:14" ht="14.25">
      <c r="A386" t="s">
        <v>553</v>
      </c>
      <c r="B386" s="196">
        <v>1</v>
      </c>
      <c r="C386" s="196">
        <v>2</v>
      </c>
      <c r="D386" s="207">
        <v>0</v>
      </c>
      <c r="E386" s="206">
        <v>0</v>
      </c>
      <c r="F386" s="33" t="s">
        <v>615</v>
      </c>
      <c r="G386" s="37"/>
      <c r="H386" s="721">
        <v>10</v>
      </c>
      <c r="I386" s="732">
        <v>411800</v>
      </c>
      <c r="J386" s="36">
        <f>(223*1.16)*1000</f>
        <v>258680</v>
      </c>
      <c r="K386" s="39"/>
      <c r="L386" s="419">
        <f t="shared" si="19"/>
        <v>4118000</v>
      </c>
      <c r="M386" s="17"/>
      <c r="N386" s="129"/>
    </row>
    <row r="387" spans="1:14" ht="14.25">
      <c r="A387" t="s">
        <v>553</v>
      </c>
      <c r="B387" s="196">
        <v>1</v>
      </c>
      <c r="C387" s="196">
        <v>2</v>
      </c>
      <c r="D387" s="207">
        <v>100</v>
      </c>
      <c r="E387" s="206">
        <v>7844012</v>
      </c>
      <c r="F387" s="33" t="s">
        <v>630</v>
      </c>
      <c r="G387" s="37" t="s">
        <v>751</v>
      </c>
      <c r="H387" s="723">
        <v>25</v>
      </c>
      <c r="I387" s="732">
        <v>71920</v>
      </c>
      <c r="J387" s="36">
        <f>(61500*1.16)</f>
        <v>71340</v>
      </c>
      <c r="K387" s="39"/>
      <c r="L387" s="419">
        <f t="shared" si="19"/>
        <v>1798000</v>
      </c>
      <c r="M387" s="17"/>
      <c r="N387" s="129"/>
    </row>
    <row r="388" spans="1:14" ht="15">
      <c r="A388" t="s">
        <v>553</v>
      </c>
      <c r="B388" s="196">
        <v>1</v>
      </c>
      <c r="C388" s="196">
        <v>2</v>
      </c>
      <c r="D388" s="207">
        <v>35</v>
      </c>
      <c r="E388" s="206">
        <v>2953125</v>
      </c>
      <c r="F388" s="33" t="s">
        <v>856</v>
      </c>
      <c r="G388" s="37" t="s">
        <v>772</v>
      </c>
      <c r="H388" s="723">
        <v>9</v>
      </c>
      <c r="I388" s="276">
        <v>79112</v>
      </c>
      <c r="J388" s="36">
        <v>80367.12</v>
      </c>
      <c r="K388" s="39">
        <f>H388*I388</f>
        <v>712008</v>
      </c>
      <c r="L388" s="419">
        <f t="shared" si="19"/>
        <v>712008</v>
      </c>
      <c r="M388" s="17"/>
      <c r="N388" s="129"/>
    </row>
    <row r="389" spans="1:14" ht="15">
      <c r="A389" t="s">
        <v>553</v>
      </c>
      <c r="B389" s="196">
        <v>1</v>
      </c>
      <c r="C389" s="196">
        <v>2</v>
      </c>
      <c r="D389" s="207">
        <v>4</v>
      </c>
      <c r="E389" s="206">
        <v>364000</v>
      </c>
      <c r="F389" s="33" t="s">
        <v>855</v>
      </c>
      <c r="G389" s="37" t="s">
        <v>751</v>
      </c>
      <c r="H389" s="725">
        <v>77</v>
      </c>
      <c r="I389" s="734">
        <v>71920</v>
      </c>
      <c r="J389" s="36">
        <v>73308.52</v>
      </c>
      <c r="K389" s="39">
        <v>4065800</v>
      </c>
      <c r="L389" s="419">
        <f t="shared" si="19"/>
        <v>5537840</v>
      </c>
      <c r="M389" s="17"/>
      <c r="N389" s="129"/>
    </row>
    <row r="390" spans="1:14" ht="15">
      <c r="A390" t="s">
        <v>553</v>
      </c>
      <c r="B390" s="196">
        <v>1</v>
      </c>
      <c r="C390" s="196">
        <v>2</v>
      </c>
      <c r="D390" s="207">
        <v>40</v>
      </c>
      <c r="E390" s="206">
        <v>4160000</v>
      </c>
      <c r="F390" s="33" t="s">
        <v>865</v>
      </c>
      <c r="G390" s="37" t="s">
        <v>751</v>
      </c>
      <c r="H390" s="299">
        <v>30</v>
      </c>
      <c r="I390" s="276">
        <v>103095</v>
      </c>
      <c r="J390" s="36">
        <v>79025</v>
      </c>
      <c r="K390" s="39">
        <v>788800</v>
      </c>
      <c r="L390" s="419">
        <f t="shared" si="19"/>
        <v>3092850</v>
      </c>
      <c r="M390" s="17"/>
      <c r="N390" s="129"/>
    </row>
    <row r="391" spans="1:14" ht="15">
      <c r="A391" t="s">
        <v>553</v>
      </c>
      <c r="B391" s="196">
        <v>1</v>
      </c>
      <c r="C391" s="196">
        <v>2</v>
      </c>
      <c r="D391" s="207">
        <v>30</v>
      </c>
      <c r="E391" s="206">
        <v>3092850</v>
      </c>
      <c r="F391" s="33" t="s">
        <v>869</v>
      </c>
      <c r="G391" s="37" t="s">
        <v>751</v>
      </c>
      <c r="H391" s="722">
        <v>8</v>
      </c>
      <c r="I391" s="276">
        <v>95808.23</v>
      </c>
      <c r="J391" s="36">
        <v>89540.4</v>
      </c>
      <c r="K391" s="39">
        <v>358208</v>
      </c>
      <c r="L391" s="419">
        <f t="shared" si="19"/>
        <v>766465.84</v>
      </c>
      <c r="M391" s="17"/>
      <c r="N391" s="129"/>
    </row>
    <row r="392" spans="1:14" ht="14.25">
      <c r="A392" t="s">
        <v>553</v>
      </c>
      <c r="B392" s="196">
        <v>1</v>
      </c>
      <c r="C392" s="196">
        <v>2</v>
      </c>
      <c r="D392" s="207">
        <v>10</v>
      </c>
      <c r="E392" s="206">
        <v>958082.3</v>
      </c>
      <c r="F392" s="33" t="s">
        <v>1</v>
      </c>
      <c r="G392" s="37" t="s">
        <v>751</v>
      </c>
      <c r="H392" s="707">
        <v>55</v>
      </c>
      <c r="I392" s="735">
        <v>160080</v>
      </c>
      <c r="J392" s="36">
        <v>154280</v>
      </c>
      <c r="K392" s="39">
        <v>4892532</v>
      </c>
      <c r="L392" s="419">
        <f t="shared" si="19"/>
        <v>8804400</v>
      </c>
      <c r="M392" s="17"/>
      <c r="N392" s="129"/>
    </row>
    <row r="393" spans="1:14" ht="15">
      <c r="A393" t="s">
        <v>553</v>
      </c>
      <c r="B393" s="196">
        <v>1</v>
      </c>
      <c r="C393" s="196">
        <v>2</v>
      </c>
      <c r="D393" s="207">
        <v>0</v>
      </c>
      <c r="E393" s="206">
        <v>0</v>
      </c>
      <c r="F393" s="33" t="s">
        <v>138</v>
      </c>
      <c r="G393" s="37"/>
      <c r="H393" s="275">
        <f>5*0</f>
        <v>0</v>
      </c>
      <c r="I393" s="276">
        <f>(223*1.16)*1000</f>
        <v>258680</v>
      </c>
      <c r="J393" s="36">
        <f>(202000*1.16)</f>
        <v>234319.99999999997</v>
      </c>
      <c r="K393" s="39"/>
      <c r="L393" s="419">
        <f t="shared" si="19"/>
        <v>0</v>
      </c>
      <c r="M393" s="17"/>
      <c r="N393" s="129"/>
    </row>
    <row r="394" spans="1:14" ht="15">
      <c r="A394" t="s">
        <v>553</v>
      </c>
      <c r="B394" s="196">
        <v>1</v>
      </c>
      <c r="C394" s="196">
        <v>2</v>
      </c>
      <c r="D394" s="207">
        <v>71</v>
      </c>
      <c r="E394" s="206">
        <v>12922000</v>
      </c>
      <c r="F394" s="33" t="s">
        <v>3</v>
      </c>
      <c r="G394" s="37" t="s">
        <v>751</v>
      </c>
      <c r="H394" s="299">
        <v>15</v>
      </c>
      <c r="I394" s="276">
        <v>277500</v>
      </c>
      <c r="J394" s="36">
        <v>243611.6</v>
      </c>
      <c r="K394" s="39">
        <v>3326764</v>
      </c>
      <c r="L394" s="419">
        <f t="shared" si="19"/>
        <v>4162500</v>
      </c>
      <c r="M394" s="17"/>
      <c r="N394" s="129"/>
    </row>
    <row r="395" spans="1:14" ht="14.25">
      <c r="A395" t="s">
        <v>553</v>
      </c>
      <c r="B395" s="196"/>
      <c r="C395" s="196"/>
      <c r="D395" s="207">
        <v>14</v>
      </c>
      <c r="E395" s="206">
        <v>2793280</v>
      </c>
      <c r="F395" s="33" t="s">
        <v>137</v>
      </c>
      <c r="G395" s="37"/>
      <c r="H395" s="275">
        <f>5*0</f>
        <v>0</v>
      </c>
      <c r="I395" s="36">
        <f>(66000+63000)/2*1.16</f>
        <v>74820</v>
      </c>
      <c r="J395" s="36">
        <f>(66000+63000)/2*1.16</f>
        <v>74820</v>
      </c>
      <c r="K395" s="39"/>
      <c r="L395" s="419">
        <f t="shared" si="19"/>
        <v>0</v>
      </c>
      <c r="M395" s="17"/>
      <c r="N395" s="129"/>
    </row>
    <row r="396" spans="1:14" ht="15">
      <c r="A396" t="s">
        <v>553</v>
      </c>
      <c r="B396" s="196">
        <v>1</v>
      </c>
      <c r="C396" s="196">
        <v>2</v>
      </c>
      <c r="D396" s="207">
        <v>0</v>
      </c>
      <c r="E396" s="206">
        <v>0</v>
      </c>
      <c r="F396" s="33" t="s">
        <v>136</v>
      </c>
      <c r="G396" s="37"/>
      <c r="H396" s="721">
        <v>0</v>
      </c>
      <c r="I396" s="276">
        <v>597868</v>
      </c>
      <c r="J396" s="36">
        <f>(223*1.16)*1000</f>
        <v>258680</v>
      </c>
      <c r="K396" s="39"/>
      <c r="L396" s="419">
        <f t="shared" si="19"/>
        <v>0</v>
      </c>
      <c r="M396" s="17"/>
      <c r="N396" s="129"/>
    </row>
    <row r="397" spans="1:14" ht="15">
      <c r="A397" t="s">
        <v>553</v>
      </c>
      <c r="B397" s="196">
        <v>1</v>
      </c>
      <c r="C397" s="196">
        <v>2</v>
      </c>
      <c r="D397" s="207">
        <v>20</v>
      </c>
      <c r="E397" s="206">
        <v>5550000</v>
      </c>
      <c r="F397" s="33" t="s">
        <v>870</v>
      </c>
      <c r="G397" s="37" t="s">
        <v>751</v>
      </c>
      <c r="H397">
        <v>15</v>
      </c>
      <c r="I397" s="276">
        <v>172500</v>
      </c>
      <c r="J397" s="36">
        <v>148359.36</v>
      </c>
      <c r="K397" s="39">
        <v>455817.36</v>
      </c>
      <c r="L397" s="419">
        <f t="shared" si="19"/>
        <v>2587500</v>
      </c>
      <c r="M397" s="17"/>
      <c r="N397" s="129"/>
    </row>
    <row r="398" spans="1:14" ht="20.25" customHeight="1">
      <c r="A398" t="s">
        <v>553</v>
      </c>
      <c r="B398" s="196">
        <v>1</v>
      </c>
      <c r="C398" s="196">
        <v>2</v>
      </c>
      <c r="D398" s="207">
        <v>20</v>
      </c>
      <c r="E398" s="206">
        <v>6925060</v>
      </c>
      <c r="F398" s="33" t="s">
        <v>452</v>
      </c>
      <c r="G398" s="37"/>
      <c r="H398">
        <v>10</v>
      </c>
      <c r="I398" s="733">
        <v>199520</v>
      </c>
      <c r="J398" s="36">
        <v>268382.24</v>
      </c>
      <c r="K398" s="39">
        <v>971908.32</v>
      </c>
      <c r="L398" s="419">
        <f t="shared" si="19"/>
        <v>1995200</v>
      </c>
      <c r="M398" s="17"/>
      <c r="N398" s="129"/>
    </row>
    <row r="399" spans="1:14" ht="21" customHeight="1">
      <c r="A399" t="s">
        <v>553</v>
      </c>
      <c r="B399" s="196">
        <v>1</v>
      </c>
      <c r="C399" s="196">
        <v>2</v>
      </c>
      <c r="D399" s="207">
        <v>20</v>
      </c>
      <c r="E399" s="206">
        <v>3450000</v>
      </c>
      <c r="F399" s="33" t="s">
        <v>871</v>
      </c>
      <c r="G399" s="37" t="s">
        <v>751</v>
      </c>
      <c r="H399" s="287">
        <v>10</v>
      </c>
      <c r="I399" s="276">
        <f>(299498+393008)/2</f>
        <v>346253</v>
      </c>
      <c r="J399" s="36">
        <v>268382.24</v>
      </c>
      <c r="K399" s="39">
        <v>971908.32</v>
      </c>
      <c r="L399" s="419">
        <f t="shared" si="19"/>
        <v>3462530</v>
      </c>
      <c r="M399" s="17"/>
      <c r="N399" s="129"/>
    </row>
    <row r="400" spans="1:14" ht="21" customHeight="1">
      <c r="A400" t="s">
        <v>553</v>
      </c>
      <c r="B400" s="196">
        <v>1</v>
      </c>
      <c r="C400" s="196">
        <v>2</v>
      </c>
      <c r="D400" s="207">
        <v>25</v>
      </c>
      <c r="E400" s="206">
        <v>26738000</v>
      </c>
      <c r="F400" s="33" t="s">
        <v>453</v>
      </c>
      <c r="G400" s="37"/>
      <c r="H400" s="299">
        <v>52</v>
      </c>
      <c r="I400" s="734">
        <v>875800</v>
      </c>
      <c r="J400" s="36">
        <v>461494.4</v>
      </c>
      <c r="K400" s="39"/>
      <c r="L400" s="419">
        <f t="shared" si="19"/>
        <v>45541600</v>
      </c>
      <c r="M400" s="17"/>
      <c r="N400" s="129"/>
    </row>
    <row r="401" spans="1:14" ht="15">
      <c r="A401" t="s">
        <v>553</v>
      </c>
      <c r="B401" s="196">
        <v>1</v>
      </c>
      <c r="C401" s="196">
        <v>2</v>
      </c>
      <c r="D401" s="207">
        <v>30</v>
      </c>
      <c r="E401" s="206">
        <v>29100000</v>
      </c>
      <c r="F401" s="33" t="s">
        <v>1108</v>
      </c>
      <c r="G401" s="37"/>
      <c r="H401" s="724">
        <v>10</v>
      </c>
      <c r="I401" s="276">
        <v>1050800</v>
      </c>
      <c r="J401" s="36"/>
      <c r="K401" s="39"/>
      <c r="L401" s="419">
        <f t="shared" si="19"/>
        <v>10508000</v>
      </c>
      <c r="M401" s="17"/>
      <c r="N401" s="129"/>
    </row>
    <row r="402" spans="1:14" ht="15">
      <c r="A402" t="s">
        <v>553</v>
      </c>
      <c r="B402" s="196"/>
      <c r="C402" s="196"/>
      <c r="D402" s="207"/>
      <c r="E402" s="206"/>
      <c r="F402" s="33" t="s">
        <v>1519</v>
      </c>
      <c r="G402" s="37" t="s">
        <v>751</v>
      </c>
      <c r="H402" s="299">
        <v>20</v>
      </c>
      <c r="I402" s="276">
        <v>1069520</v>
      </c>
      <c r="J402" s="36">
        <f>(991034*1.16)</f>
        <v>1149599.44</v>
      </c>
      <c r="K402" s="39">
        <f>H402*I402</f>
        <v>21390400</v>
      </c>
      <c r="L402" s="419">
        <f t="shared" si="19"/>
        <v>21390400</v>
      </c>
      <c r="M402" s="17"/>
      <c r="N402" s="129"/>
    </row>
    <row r="403" spans="1:19" ht="15">
      <c r="A403" t="s">
        <v>553</v>
      </c>
      <c r="B403" s="196">
        <v>1</v>
      </c>
      <c r="C403" s="196">
        <v>2</v>
      </c>
      <c r="D403" s="207">
        <v>0</v>
      </c>
      <c r="E403" s="206">
        <v>0</v>
      </c>
      <c r="F403" s="33" t="s">
        <v>1532</v>
      </c>
      <c r="G403" s="37" t="s">
        <v>751</v>
      </c>
      <c r="H403" s="414">
        <v>10</v>
      </c>
      <c r="I403" s="276">
        <v>68750</v>
      </c>
      <c r="J403" s="36"/>
      <c r="K403" s="39"/>
      <c r="L403" s="419">
        <f t="shared" si="19"/>
        <v>687500</v>
      </c>
      <c r="M403" s="17"/>
      <c r="N403" s="129"/>
      <c r="Q403" s="513">
        <v>25</v>
      </c>
      <c r="R403" s="513">
        <v>5400</v>
      </c>
      <c r="S403" s="513">
        <f>+Q403*R403</f>
        <v>135000</v>
      </c>
    </row>
    <row r="404" spans="1:14" ht="15">
      <c r="A404" t="s">
        <v>553</v>
      </c>
      <c r="B404" s="196"/>
      <c r="C404" s="196"/>
      <c r="D404" s="207">
        <v>18</v>
      </c>
      <c r="E404" s="206">
        <v>18914400</v>
      </c>
      <c r="F404" s="33" t="s">
        <v>872</v>
      </c>
      <c r="G404" s="37" t="s">
        <v>751</v>
      </c>
      <c r="H404" s="708">
        <f>5*0</f>
        <v>0</v>
      </c>
      <c r="I404" s="733">
        <v>386978.94</v>
      </c>
      <c r="J404" s="36">
        <v>65192</v>
      </c>
      <c r="K404" s="39">
        <v>253924</v>
      </c>
      <c r="L404" s="419">
        <f t="shared" si="19"/>
        <v>0</v>
      </c>
      <c r="M404" s="17"/>
      <c r="N404" s="129"/>
    </row>
    <row r="405" spans="2:14" ht="18.75" customHeight="1">
      <c r="B405" s="196">
        <v>1</v>
      </c>
      <c r="C405" s="196">
        <v>2</v>
      </c>
      <c r="D405" s="207">
        <v>0</v>
      </c>
      <c r="E405" s="206">
        <v>0</v>
      </c>
      <c r="F405" s="33" t="s">
        <v>703</v>
      </c>
      <c r="G405" s="34"/>
      <c r="H405" s="35"/>
      <c r="I405" s="36"/>
      <c r="J405" s="36"/>
      <c r="K405" s="17">
        <f>SUM(K250:K400)</f>
        <v>137846398.52</v>
      </c>
      <c r="L405" s="423">
        <f>SUM(L250:L404)</f>
        <v>778284722.54</v>
      </c>
      <c r="M405" s="17"/>
      <c r="N405" s="129"/>
    </row>
    <row r="406" spans="2:14" ht="15.75" customHeight="1">
      <c r="B406" s="196"/>
      <c r="C406" s="196"/>
      <c r="D406" s="205"/>
      <c r="E406" s="126">
        <v>241439224.25999996</v>
      </c>
      <c r="F406" s="33" t="s">
        <v>873</v>
      </c>
      <c r="G406" s="34"/>
      <c r="H406" s="35"/>
      <c r="I406" s="36"/>
      <c r="J406" s="36"/>
      <c r="K406" s="17"/>
      <c r="L406" s="423">
        <f>3218489.91-950000+3693440-190240-4489387.2+21755116.7</f>
        <v>23037419.41</v>
      </c>
      <c r="M406" s="126"/>
      <c r="N406" s="321"/>
    </row>
    <row r="407" spans="1:14" ht="14.25">
      <c r="A407" t="s">
        <v>1265</v>
      </c>
      <c r="B407" s="196"/>
      <c r="C407" s="196"/>
      <c r="D407" s="205"/>
      <c r="E407" s="126">
        <v>625775.74</v>
      </c>
      <c r="F407" s="33" t="s">
        <v>582</v>
      </c>
      <c r="G407" s="34"/>
      <c r="H407" s="35"/>
      <c r="I407" s="36"/>
      <c r="J407" s="36"/>
      <c r="K407" s="17"/>
      <c r="L407" s="423">
        <f>3000000</f>
        <v>3000000</v>
      </c>
      <c r="M407" s="126">
        <f>800000000-797228000</f>
        <v>2772000</v>
      </c>
      <c r="N407" s="321" t="s">
        <v>1368</v>
      </c>
    </row>
    <row r="408" spans="2:19" ht="14.25">
      <c r="B408" s="196"/>
      <c r="C408" s="196"/>
      <c r="D408" s="205"/>
      <c r="E408" s="126">
        <v>3000000</v>
      </c>
      <c r="F408" s="33" t="s">
        <v>618</v>
      </c>
      <c r="G408" s="34"/>
      <c r="H408" s="35"/>
      <c r="I408" s="36"/>
      <c r="J408" s="36"/>
      <c r="K408" s="17"/>
      <c r="L408" s="423">
        <f>2903800.69+582800-906000+2977040-9879782.64</f>
        <v>-4322141.950000001</v>
      </c>
      <c r="M408" s="126"/>
      <c r="N408" s="321"/>
      <c r="Q408" s="513">
        <v>22017</v>
      </c>
      <c r="R408" s="513">
        <v>100</v>
      </c>
      <c r="S408" s="513">
        <f>+Q408*R408+10</f>
        <v>2201710</v>
      </c>
    </row>
    <row r="409" spans="2:14" ht="14.25">
      <c r="B409" s="196"/>
      <c r="C409" s="196"/>
      <c r="D409" s="205"/>
      <c r="E409" s="126">
        <v>1000000</v>
      </c>
      <c r="F409" s="33" t="s">
        <v>1368</v>
      </c>
      <c r="G409" s="34"/>
      <c r="H409" s="35"/>
      <c r="I409" s="36"/>
      <c r="J409" s="17"/>
      <c r="K409" s="17"/>
      <c r="L409" s="423">
        <f>L405+L406+L408+L407</f>
        <v>799999999.9999999</v>
      </c>
      <c r="M409" s="126"/>
      <c r="N409" s="321"/>
    </row>
    <row r="410" spans="2:15" ht="15">
      <c r="B410" s="196"/>
      <c r="C410" s="196"/>
      <c r="D410" s="208"/>
      <c r="E410" s="209">
        <v>243064999.99999997</v>
      </c>
      <c r="F410" s="184" t="s">
        <v>1368</v>
      </c>
      <c r="G410" s="41"/>
      <c r="H410" s="42"/>
      <c r="I410" s="43"/>
      <c r="J410" s="43"/>
      <c r="K410" s="43"/>
      <c r="L410" s="424" t="s">
        <v>1368</v>
      </c>
      <c r="M410" s="126"/>
      <c r="N410" s="321"/>
      <c r="O410" s="286">
        <f>L249-800000000</f>
        <v>0</v>
      </c>
    </row>
    <row r="411" spans="2:14" ht="15">
      <c r="B411" s="196"/>
      <c r="C411" s="196"/>
      <c r="D411" s="208"/>
      <c r="E411" s="243" t="s">
        <v>1368</v>
      </c>
      <c r="F411" s="40"/>
      <c r="G411" s="41"/>
      <c r="H411" s="42"/>
      <c r="I411" s="43"/>
      <c r="J411" s="43"/>
      <c r="K411" s="43"/>
      <c r="L411" s="424"/>
      <c r="M411" s="44"/>
      <c r="N411" s="322"/>
    </row>
    <row r="412" spans="2:14" ht="16.5">
      <c r="B412" s="196"/>
      <c r="C412" s="196"/>
      <c r="D412" s="208"/>
      <c r="E412" s="243"/>
      <c r="F412" s="103" t="s">
        <v>874</v>
      </c>
      <c r="G412" s="45"/>
      <c r="H412" s="46"/>
      <c r="I412" s="47"/>
      <c r="J412" s="47"/>
      <c r="K412" s="47"/>
      <c r="L412" s="425">
        <f>L433</f>
        <v>15025000</v>
      </c>
      <c r="M412" s="44"/>
      <c r="N412" s="322"/>
    </row>
    <row r="413" spans="1:14" ht="16.5">
      <c r="A413" t="s">
        <v>557</v>
      </c>
      <c r="B413" s="196"/>
      <c r="C413" s="196"/>
      <c r="D413" s="210"/>
      <c r="E413" s="199">
        <v>7020000</v>
      </c>
      <c r="F413" s="40" t="s">
        <v>875</v>
      </c>
      <c r="G413" s="41" t="s">
        <v>876</v>
      </c>
      <c r="H413" s="42">
        <v>20</v>
      </c>
      <c r="I413" s="43">
        <v>8216.8</v>
      </c>
      <c r="J413" s="43"/>
      <c r="K413" s="43">
        <v>6214.6</v>
      </c>
      <c r="L413" s="426">
        <f aca="true" t="shared" si="20" ref="L413:L426">I413*H413</f>
        <v>164336</v>
      </c>
      <c r="M413" s="106"/>
      <c r="N413" s="323"/>
    </row>
    <row r="414" spans="1:19" ht="15" thickBot="1">
      <c r="A414" t="s">
        <v>562</v>
      </c>
      <c r="B414" s="196"/>
      <c r="C414" s="196"/>
      <c r="D414" s="208"/>
      <c r="E414" s="197"/>
      <c r="F414" s="40" t="s">
        <v>1338</v>
      </c>
      <c r="G414" s="41"/>
      <c r="H414" s="42">
        <f>3+2</f>
        <v>5</v>
      </c>
      <c r="I414" s="43">
        <v>2254.46</v>
      </c>
      <c r="J414" s="43"/>
      <c r="K414" s="43"/>
      <c r="L414" s="426">
        <f t="shared" si="20"/>
        <v>11272.3</v>
      </c>
      <c r="M414" s="43"/>
      <c r="N414" s="324"/>
      <c r="Q414" s="513">
        <v>10</v>
      </c>
      <c r="R414" s="513">
        <v>7000</v>
      </c>
      <c r="S414" s="513">
        <f>+R414*Q414</f>
        <v>70000</v>
      </c>
    </row>
    <row r="415" spans="1:19" ht="20.25" customHeight="1">
      <c r="A415" t="s">
        <v>556</v>
      </c>
      <c r="B415" s="196">
        <v>5</v>
      </c>
      <c r="C415" s="196">
        <v>8</v>
      </c>
      <c r="D415" s="208">
        <v>20</v>
      </c>
      <c r="E415" s="197">
        <v>164336</v>
      </c>
      <c r="F415" s="583" t="s">
        <v>877</v>
      </c>
      <c r="G415" s="41" t="s">
        <v>878</v>
      </c>
      <c r="H415" s="42">
        <v>40</v>
      </c>
      <c r="I415" s="43">
        <v>3016</v>
      </c>
      <c r="J415" s="43"/>
      <c r="K415" s="43">
        <v>2924</v>
      </c>
      <c r="L415" s="426">
        <f t="shared" si="20"/>
        <v>120640</v>
      </c>
      <c r="M415" s="43"/>
      <c r="N415" s="324"/>
      <c r="Q415" s="503">
        <v>2</v>
      </c>
      <c r="R415" s="503">
        <v>6000</v>
      </c>
      <c r="S415" s="503">
        <f>+R415*Q415</f>
        <v>12000</v>
      </c>
    </row>
    <row r="416" spans="1:14" ht="15" thickBot="1">
      <c r="A416" t="s">
        <v>556</v>
      </c>
      <c r="B416" s="196">
        <v>5</v>
      </c>
      <c r="C416" s="196">
        <v>8</v>
      </c>
      <c r="D416" s="208">
        <v>40</v>
      </c>
      <c r="E416" s="197">
        <v>120640</v>
      </c>
      <c r="F416" s="684" t="s">
        <v>879</v>
      </c>
      <c r="G416" s="41" t="s">
        <v>878</v>
      </c>
      <c r="H416" s="689">
        <v>200</v>
      </c>
      <c r="I416" s="691">
        <v>3082.74</v>
      </c>
      <c r="J416" s="43"/>
      <c r="K416" s="43">
        <v>3089</v>
      </c>
      <c r="L416" s="426">
        <f t="shared" si="20"/>
        <v>616548</v>
      </c>
      <c r="M416" s="43"/>
      <c r="N416" s="324"/>
    </row>
    <row r="417" spans="2:19" ht="15" thickBot="1">
      <c r="B417" s="196">
        <v>5</v>
      </c>
      <c r="C417" s="196">
        <v>8</v>
      </c>
      <c r="D417" s="208">
        <v>200</v>
      </c>
      <c r="E417" s="197">
        <v>616548</v>
      </c>
      <c r="F417" s="685" t="s">
        <v>195</v>
      </c>
      <c r="G417" s="41" t="s">
        <v>649</v>
      </c>
      <c r="H417" s="690">
        <v>500</v>
      </c>
      <c r="I417" s="690">
        <v>520</v>
      </c>
      <c r="J417" s="43"/>
      <c r="K417" s="43"/>
      <c r="L417" s="426">
        <f t="shared" si="20"/>
        <v>260000</v>
      </c>
      <c r="M417" s="43"/>
      <c r="N417" s="324"/>
      <c r="Q417" s="502">
        <v>5</v>
      </c>
      <c r="R417" s="502">
        <v>1200</v>
      </c>
      <c r="S417" s="516">
        <f aca="true" t="shared" si="21" ref="S417:S426">+R417*Q417</f>
        <v>6000</v>
      </c>
    </row>
    <row r="418" spans="1:19" ht="14.25">
      <c r="A418" t="s">
        <v>557</v>
      </c>
      <c r="B418" s="196"/>
      <c r="C418" s="196"/>
      <c r="D418" s="208"/>
      <c r="E418" s="197"/>
      <c r="F418" s="686" t="s">
        <v>880</v>
      </c>
      <c r="G418" s="41" t="s">
        <v>744</v>
      </c>
      <c r="H418" s="42">
        <v>108</v>
      </c>
      <c r="I418" s="691">
        <v>4152</v>
      </c>
      <c r="J418" s="43"/>
      <c r="K418" s="43"/>
      <c r="L418" s="426">
        <f t="shared" si="20"/>
        <v>448416</v>
      </c>
      <c r="M418" s="43"/>
      <c r="N418" s="324"/>
      <c r="Q418" s="513">
        <v>4</v>
      </c>
      <c r="R418" s="513">
        <v>10000</v>
      </c>
      <c r="S418" s="513">
        <f t="shared" si="21"/>
        <v>40000</v>
      </c>
    </row>
    <row r="419" spans="1:19" ht="14.25">
      <c r="A419" t="s">
        <v>1464</v>
      </c>
      <c r="B419" s="196"/>
      <c r="C419" s="196"/>
      <c r="D419" s="208"/>
      <c r="E419" s="197"/>
      <c r="F419" s="514" t="s">
        <v>190</v>
      </c>
      <c r="G419" s="41" t="s">
        <v>649</v>
      </c>
      <c r="H419" s="42">
        <v>10</v>
      </c>
      <c r="I419" s="43">
        <v>6000</v>
      </c>
      <c r="J419" s="43"/>
      <c r="K419" s="43"/>
      <c r="L419" s="426">
        <f t="shared" si="20"/>
        <v>60000</v>
      </c>
      <c r="M419" s="43"/>
      <c r="N419" s="324"/>
      <c r="Q419" s="513">
        <v>12</v>
      </c>
      <c r="R419" s="513">
        <v>900</v>
      </c>
      <c r="S419" s="513">
        <f t="shared" si="21"/>
        <v>10800</v>
      </c>
    </row>
    <row r="420" spans="1:19" ht="14.25">
      <c r="A420" t="s">
        <v>1464</v>
      </c>
      <c r="B420" s="196">
        <v>5</v>
      </c>
      <c r="C420" s="196">
        <v>8</v>
      </c>
      <c r="D420" s="208">
        <v>108</v>
      </c>
      <c r="E420" s="197">
        <v>448416</v>
      </c>
      <c r="F420" s="514" t="s">
        <v>736</v>
      </c>
      <c r="G420" s="41" t="s">
        <v>737</v>
      </c>
      <c r="H420" s="42">
        <v>20</v>
      </c>
      <c r="I420" s="692">
        <v>1380</v>
      </c>
      <c r="J420" s="43"/>
      <c r="K420" s="43"/>
      <c r="L420" s="426">
        <f t="shared" si="20"/>
        <v>27600</v>
      </c>
      <c r="M420" s="43"/>
      <c r="N420" s="324"/>
      <c r="Q420" s="513">
        <v>5</v>
      </c>
      <c r="R420" s="513">
        <v>1600</v>
      </c>
      <c r="S420" s="513">
        <f t="shared" si="21"/>
        <v>8000</v>
      </c>
    </row>
    <row r="421" spans="1:19" ht="14.25">
      <c r="A421" t="s">
        <v>1464</v>
      </c>
      <c r="B421" s="196"/>
      <c r="C421" s="196"/>
      <c r="D421" s="208"/>
      <c r="E421" s="197"/>
      <c r="F421" s="515" t="s">
        <v>191</v>
      </c>
      <c r="G421" s="41" t="s">
        <v>649</v>
      </c>
      <c r="H421" s="42">
        <v>10</v>
      </c>
      <c r="I421" s="691">
        <v>2500</v>
      </c>
      <c r="J421" s="43"/>
      <c r="K421" s="43"/>
      <c r="L421" s="426">
        <f t="shared" si="20"/>
        <v>25000</v>
      </c>
      <c r="M421" s="43"/>
      <c r="N421" s="324"/>
      <c r="Q421" s="513">
        <v>2</v>
      </c>
      <c r="R421" s="513">
        <v>6000</v>
      </c>
      <c r="S421" s="513">
        <f t="shared" si="21"/>
        <v>12000</v>
      </c>
    </row>
    <row r="422" spans="1:19" ht="15" thickBot="1">
      <c r="A422" t="s">
        <v>1464</v>
      </c>
      <c r="B422" s="196"/>
      <c r="C422" s="196"/>
      <c r="D422" s="208"/>
      <c r="E422" s="197"/>
      <c r="F422" s="687" t="s">
        <v>194</v>
      </c>
      <c r="G422" s="41" t="s">
        <v>876</v>
      </c>
      <c r="H422" s="42">
        <v>12</v>
      </c>
      <c r="I422" s="692">
        <v>4300</v>
      </c>
      <c r="J422" s="43"/>
      <c r="K422" s="43"/>
      <c r="L422" s="426">
        <f t="shared" si="20"/>
        <v>51600</v>
      </c>
      <c r="M422" s="43"/>
      <c r="N422" s="324"/>
      <c r="Q422" s="505">
        <v>2</v>
      </c>
      <c r="R422" s="505">
        <v>5000</v>
      </c>
      <c r="S422" s="505">
        <f t="shared" si="21"/>
        <v>10000</v>
      </c>
    </row>
    <row r="423" spans="1:19" ht="22.5" customHeight="1">
      <c r="A423" t="s">
        <v>723</v>
      </c>
      <c r="B423" s="196"/>
      <c r="C423" s="196"/>
      <c r="D423" s="208"/>
      <c r="E423" s="197"/>
      <c r="F423" s="686" t="s">
        <v>881</v>
      </c>
      <c r="G423" s="41" t="s">
        <v>727</v>
      </c>
      <c r="H423" s="42">
        <v>150</v>
      </c>
      <c r="I423" s="43">
        <v>1587</v>
      </c>
      <c r="J423" s="43"/>
      <c r="K423" s="43"/>
      <c r="L423" s="426">
        <f t="shared" si="20"/>
        <v>238050</v>
      </c>
      <c r="M423" s="43"/>
      <c r="N423" s="324"/>
      <c r="Q423" s="513">
        <v>3</v>
      </c>
      <c r="R423" s="513">
        <v>4800</v>
      </c>
      <c r="S423" s="513">
        <f t="shared" si="21"/>
        <v>14400</v>
      </c>
    </row>
    <row r="424" spans="1:19" ht="22.5" customHeight="1">
      <c r="A424" t="s">
        <v>559</v>
      </c>
      <c r="B424" s="196"/>
      <c r="C424" s="196"/>
      <c r="D424" s="208"/>
      <c r="E424" s="197"/>
      <c r="F424" s="40" t="s">
        <v>882</v>
      </c>
      <c r="G424" s="41" t="s">
        <v>649</v>
      </c>
      <c r="H424" s="42">
        <v>150</v>
      </c>
      <c r="I424" s="43">
        <v>1620</v>
      </c>
      <c r="J424" s="43"/>
      <c r="K424" s="43"/>
      <c r="L424" s="426">
        <f t="shared" si="20"/>
        <v>243000</v>
      </c>
      <c r="M424" s="43"/>
      <c r="N424" s="324"/>
      <c r="Q424" s="513">
        <v>3</v>
      </c>
      <c r="R424" s="513">
        <v>6000</v>
      </c>
      <c r="S424" s="513">
        <f t="shared" si="21"/>
        <v>18000</v>
      </c>
    </row>
    <row r="425" spans="1:19" ht="14.25">
      <c r="A425" t="s">
        <v>559</v>
      </c>
      <c r="B425" s="196">
        <v>5</v>
      </c>
      <c r="C425" s="196">
        <v>8</v>
      </c>
      <c r="D425" s="208">
        <v>150</v>
      </c>
      <c r="E425" s="197">
        <v>243000</v>
      </c>
      <c r="F425" s="40" t="s">
        <v>883</v>
      </c>
      <c r="G425" s="41" t="s">
        <v>649</v>
      </c>
      <c r="H425" s="42">
        <v>50</v>
      </c>
      <c r="I425" s="43">
        <v>1091.35</v>
      </c>
      <c r="J425" s="43"/>
      <c r="K425" s="43"/>
      <c r="L425" s="426">
        <f t="shared" si="20"/>
        <v>54567.49999999999</v>
      </c>
      <c r="M425" s="43"/>
      <c r="N425" s="324"/>
      <c r="Q425" s="513">
        <v>3</v>
      </c>
      <c r="R425" s="513">
        <v>4800</v>
      </c>
      <c r="S425" s="513">
        <f t="shared" si="21"/>
        <v>14400</v>
      </c>
    </row>
    <row r="426" spans="1:19" ht="18.75" customHeight="1">
      <c r="A426" t="s">
        <v>558</v>
      </c>
      <c r="B426" s="196">
        <v>5</v>
      </c>
      <c r="C426" s="196">
        <v>8</v>
      </c>
      <c r="D426" s="208">
        <v>50</v>
      </c>
      <c r="E426" s="197">
        <v>54567.5</v>
      </c>
      <c r="F426" s="40" t="s">
        <v>884</v>
      </c>
      <c r="G426" s="41" t="s">
        <v>649</v>
      </c>
      <c r="H426" s="42">
        <v>200</v>
      </c>
      <c r="I426" s="43">
        <v>261.6</v>
      </c>
      <c r="J426" s="43"/>
      <c r="K426" s="43"/>
      <c r="L426" s="426">
        <f t="shared" si="20"/>
        <v>52320.00000000001</v>
      </c>
      <c r="M426" s="43"/>
      <c r="N426" s="324"/>
      <c r="Q426" s="513">
        <v>6</v>
      </c>
      <c r="R426" s="513">
        <v>4800</v>
      </c>
      <c r="S426" s="513">
        <f t="shared" si="21"/>
        <v>28800</v>
      </c>
    </row>
    <row r="427" spans="2:14" ht="22.5" customHeight="1">
      <c r="B427" s="196">
        <v>5</v>
      </c>
      <c r="C427" s="196">
        <v>8</v>
      </c>
      <c r="D427" s="208">
        <v>150</v>
      </c>
      <c r="E427" s="197">
        <v>238050</v>
      </c>
      <c r="F427" s="687" t="s">
        <v>193</v>
      </c>
      <c r="G427" s="41"/>
      <c r="H427" s="42"/>
      <c r="I427" s="43"/>
      <c r="J427" s="43"/>
      <c r="K427" s="43"/>
      <c r="L427" s="426"/>
      <c r="M427" s="43"/>
      <c r="N427" s="324"/>
    </row>
    <row r="428" spans="1:14" ht="15" thickBot="1">
      <c r="A428" t="s">
        <v>1464</v>
      </c>
      <c r="B428" s="196">
        <v>5</v>
      </c>
      <c r="C428" s="196">
        <v>8</v>
      </c>
      <c r="D428" s="208">
        <v>350</v>
      </c>
      <c r="E428" s="197">
        <v>1256500</v>
      </c>
      <c r="F428" s="687" t="s">
        <v>192</v>
      </c>
      <c r="G428" s="41" t="s">
        <v>649</v>
      </c>
      <c r="H428" s="42">
        <v>10</v>
      </c>
      <c r="I428" s="43">
        <v>2500</v>
      </c>
      <c r="J428" s="43"/>
      <c r="K428" s="43"/>
      <c r="L428" s="426">
        <f>I428*H428</f>
        <v>25000</v>
      </c>
      <c r="M428" s="43"/>
      <c r="N428" s="324"/>
    </row>
    <row r="429" spans="1:19" ht="24" customHeight="1" thickBot="1">
      <c r="A429" t="s">
        <v>560</v>
      </c>
      <c r="B429" s="196">
        <v>5</v>
      </c>
      <c r="C429" s="196">
        <v>8</v>
      </c>
      <c r="D429" s="208">
        <v>200</v>
      </c>
      <c r="E429" s="197">
        <v>52320</v>
      </c>
      <c r="F429" s="40" t="s">
        <v>885</v>
      </c>
      <c r="G429" s="41" t="s">
        <v>649</v>
      </c>
      <c r="H429" s="42">
        <v>200</v>
      </c>
      <c r="I429" s="43">
        <v>287.5</v>
      </c>
      <c r="J429" s="43"/>
      <c r="K429" s="43"/>
      <c r="L429" s="426">
        <f>I429*H429</f>
        <v>57500</v>
      </c>
      <c r="M429" s="43"/>
      <c r="N429" s="324"/>
      <c r="Q429" s="502">
        <v>3</v>
      </c>
      <c r="R429" s="502">
        <v>52000</v>
      </c>
      <c r="S429" s="502">
        <f>+R429*Q429</f>
        <v>156000</v>
      </c>
    </row>
    <row r="430" spans="1:14" ht="22.5" customHeight="1" thickBot="1">
      <c r="A430" t="s">
        <v>561</v>
      </c>
      <c r="B430" s="196">
        <v>5</v>
      </c>
      <c r="C430" s="196">
        <v>8</v>
      </c>
      <c r="D430" s="208">
        <v>200</v>
      </c>
      <c r="E430" s="197">
        <v>57500</v>
      </c>
      <c r="F430" s="688" t="s">
        <v>887</v>
      </c>
      <c r="G430" s="41" t="s">
        <v>888</v>
      </c>
      <c r="H430" s="42">
        <v>12000</v>
      </c>
      <c r="I430" s="43">
        <v>530.12</v>
      </c>
      <c r="J430" s="43"/>
      <c r="K430" s="43"/>
      <c r="L430" s="426">
        <f>I430*H430</f>
        <v>6361440</v>
      </c>
      <c r="M430" s="43"/>
      <c r="N430" s="324"/>
    </row>
    <row r="431" spans="1:19" ht="22.5" customHeight="1" thickBot="1">
      <c r="A431" t="s">
        <v>560</v>
      </c>
      <c r="B431" s="196">
        <v>5</v>
      </c>
      <c r="C431" s="196">
        <v>8</v>
      </c>
      <c r="D431" s="208">
        <v>12000</v>
      </c>
      <c r="E431" s="197">
        <v>6361440</v>
      </c>
      <c r="F431" s="14" t="s">
        <v>889</v>
      </c>
      <c r="G431" s="41" t="s">
        <v>890</v>
      </c>
      <c r="H431" s="42">
        <v>350</v>
      </c>
      <c r="I431" s="43">
        <v>3590</v>
      </c>
      <c r="J431" s="43"/>
      <c r="K431" s="43"/>
      <c r="L431" s="426">
        <f>I431*H431</f>
        <v>1256500</v>
      </c>
      <c r="M431" s="43"/>
      <c r="N431" s="324"/>
      <c r="Q431" s="505">
        <v>2</v>
      </c>
      <c r="R431" s="505">
        <v>4800</v>
      </c>
      <c r="S431" s="505">
        <f>+R431*Q431</f>
        <v>9600</v>
      </c>
    </row>
    <row r="432" spans="2:14" ht="20.25" customHeight="1">
      <c r="B432" s="196"/>
      <c r="C432" s="196"/>
      <c r="D432" s="208">
        <v>5</v>
      </c>
      <c r="E432" s="197">
        <v>11272.3</v>
      </c>
      <c r="F432" s="40" t="s">
        <v>891</v>
      </c>
      <c r="G432" s="41"/>
      <c r="H432" s="42"/>
      <c r="I432" s="43"/>
      <c r="J432" s="43"/>
      <c r="K432" s="43"/>
      <c r="L432" s="426">
        <f>5063810.2-27600-85000</f>
        <v>4951210.2</v>
      </c>
      <c r="M432" s="43"/>
      <c r="N432" s="324"/>
    </row>
    <row r="433" spans="2:15" ht="14.25">
      <c r="B433" s="196"/>
      <c r="C433" s="196"/>
      <c r="D433" s="208"/>
      <c r="E433" s="197">
        <v>675824.5</v>
      </c>
      <c r="F433" s="40" t="s">
        <v>703</v>
      </c>
      <c r="G433" s="41"/>
      <c r="H433" s="42"/>
      <c r="I433" s="43"/>
      <c r="J433" s="43"/>
      <c r="K433" s="43"/>
      <c r="L433" s="426">
        <f>SUM(L413:L432)</f>
        <v>15025000</v>
      </c>
      <c r="M433" s="43"/>
      <c r="N433" s="324"/>
      <c r="O433" s="286">
        <f>15000000-L412</f>
        <v>-25000</v>
      </c>
    </row>
    <row r="434" spans="2:14" ht="14.25">
      <c r="B434" s="196"/>
      <c r="C434" s="196"/>
      <c r="D434" s="85"/>
      <c r="E434" s="197">
        <v>7020000</v>
      </c>
      <c r="F434" s="14"/>
      <c r="G434" s="15"/>
      <c r="H434" s="16"/>
      <c r="I434" s="17"/>
      <c r="J434" s="17"/>
      <c r="K434" s="17"/>
      <c r="L434" s="419"/>
      <c r="M434" s="43"/>
      <c r="N434" s="324"/>
    </row>
    <row r="435" spans="2:19" ht="15.75">
      <c r="B435" s="196"/>
      <c r="C435" s="196"/>
      <c r="D435" s="85"/>
      <c r="E435" s="197"/>
      <c r="F435" s="102" t="s">
        <v>892</v>
      </c>
      <c r="G435" s="10"/>
      <c r="H435" s="11"/>
      <c r="I435" s="12"/>
      <c r="J435" s="12"/>
      <c r="K435" s="12"/>
      <c r="L435" s="427">
        <f>L440</f>
        <v>76877300</v>
      </c>
      <c r="M435" s="17"/>
      <c r="N435" s="129"/>
      <c r="S435" t="s">
        <v>1019</v>
      </c>
    </row>
    <row r="436" spans="1:19" ht="15.75">
      <c r="A436" t="s">
        <v>565</v>
      </c>
      <c r="B436" s="196">
        <v>4</v>
      </c>
      <c r="C436" s="196">
        <v>4</v>
      </c>
      <c r="D436" s="85">
        <v>10530</v>
      </c>
      <c r="E436" s="197">
        <v>35275500</v>
      </c>
      <c r="F436" s="14" t="s">
        <v>934</v>
      </c>
      <c r="G436" s="15" t="s">
        <v>748</v>
      </c>
      <c r="H436" s="16">
        <f>N437/I436</f>
        <v>10575.738916256158</v>
      </c>
      <c r="I436" s="17">
        <f>700*1.16</f>
        <v>812</v>
      </c>
      <c r="J436" s="17"/>
      <c r="K436" s="17"/>
      <c r="L436" s="419">
        <f>I436*H436-0.04</f>
        <v>8587499.96</v>
      </c>
      <c r="M436" s="17"/>
      <c r="N436" s="325"/>
      <c r="O436">
        <v>42000000</v>
      </c>
      <c r="S436" t="s">
        <v>1368</v>
      </c>
    </row>
    <row r="437" spans="1:19" ht="15.75">
      <c r="A437" t="s">
        <v>563</v>
      </c>
      <c r="B437" s="196"/>
      <c r="C437" s="196"/>
      <c r="D437" s="198"/>
      <c r="E437" s="199">
        <v>36577999.99676</v>
      </c>
      <c r="F437" s="14" t="s">
        <v>893</v>
      </c>
      <c r="G437" s="15" t="s">
        <v>748</v>
      </c>
      <c r="H437" s="16">
        <f>N438/I437</f>
        <v>9461.967213114754</v>
      </c>
      <c r="I437" s="17">
        <f>3050+305</f>
        <v>3355</v>
      </c>
      <c r="J437" s="17"/>
      <c r="K437" s="17"/>
      <c r="L437" s="419">
        <f>I437*H437</f>
        <v>31744900</v>
      </c>
      <c r="M437" s="173"/>
      <c r="N437" s="129">
        <v>8587500</v>
      </c>
      <c r="O437" s="286">
        <f>O436-L435</f>
        <v>-34877300</v>
      </c>
      <c r="Q437" s="513">
        <v>38</v>
      </c>
      <c r="R437" s="513">
        <v>4016</v>
      </c>
      <c r="S437" s="513">
        <f>+Q437*R437</f>
        <v>152608</v>
      </c>
    </row>
    <row r="438" spans="1:19" ht="15" thickBot="1">
      <c r="A438" t="s">
        <v>564</v>
      </c>
      <c r="B438" s="196">
        <v>4</v>
      </c>
      <c r="C438" s="196">
        <v>4</v>
      </c>
      <c r="D438" s="85">
        <v>2700</v>
      </c>
      <c r="E438" s="197">
        <v>6210000</v>
      </c>
      <c r="F438" s="14" t="s">
        <v>894</v>
      </c>
      <c r="G438" s="15" t="s">
        <v>895</v>
      </c>
      <c r="H438" s="16">
        <v>7000</v>
      </c>
      <c r="I438" s="17">
        <f>4417*1.16</f>
        <v>5123.719999999999</v>
      </c>
      <c r="J438" s="17"/>
      <c r="K438" s="17"/>
      <c r="L438" s="419">
        <f>I438*H438</f>
        <v>35866039.99999999</v>
      </c>
      <c r="M438" s="17"/>
      <c r="N438" s="129">
        <v>31744900</v>
      </c>
      <c r="O438" s="285">
        <f>O436-L435</f>
        <v>-34877300</v>
      </c>
      <c r="Q438" s="505">
        <v>45</v>
      </c>
      <c r="R438" s="505">
        <v>4800</v>
      </c>
      <c r="S438" s="505">
        <f>+Q438*R438</f>
        <v>216000</v>
      </c>
    </row>
    <row r="439" spans="2:19" ht="14.25">
      <c r="B439" s="196">
        <v>4</v>
      </c>
      <c r="C439" s="196">
        <v>4</v>
      </c>
      <c r="D439" s="85">
        <v>390</v>
      </c>
      <c r="E439" s="197">
        <v>514499.66</v>
      </c>
      <c r="F439" s="14" t="s">
        <v>873</v>
      </c>
      <c r="G439" s="15"/>
      <c r="H439" s="16"/>
      <c r="I439" s="17"/>
      <c r="J439" s="17"/>
      <c r="K439" s="17"/>
      <c r="L439" s="419">
        <v>678860</v>
      </c>
      <c r="M439" s="17"/>
      <c r="N439" s="129">
        <v>1867600</v>
      </c>
      <c r="O439" s="286"/>
      <c r="Q439" s="503">
        <v>53</v>
      </c>
      <c r="R439" s="503">
        <v>640</v>
      </c>
      <c r="S439" s="503">
        <f>+Q439*R439</f>
        <v>33920</v>
      </c>
    </row>
    <row r="440" spans="2:19" ht="14.25">
      <c r="B440" s="196"/>
      <c r="C440" s="196"/>
      <c r="D440" s="85"/>
      <c r="E440" s="197"/>
      <c r="F440" s="14" t="s">
        <v>703</v>
      </c>
      <c r="G440" s="15"/>
      <c r="H440" s="16"/>
      <c r="I440" s="17"/>
      <c r="J440" s="17"/>
      <c r="K440" s="17"/>
      <c r="L440" s="428">
        <f>SUM(L436:L439)+0.04</f>
        <v>76877300</v>
      </c>
      <c r="M440" s="17"/>
      <c r="N440" s="129">
        <f>47000000-L440</f>
        <v>-29877300</v>
      </c>
      <c r="O440" s="286"/>
      <c r="Q440" s="525"/>
      <c r="R440" s="525"/>
      <c r="S440" s="525"/>
    </row>
    <row r="441" spans="2:17" ht="14.25">
      <c r="B441" s="196"/>
      <c r="C441" s="196"/>
      <c r="D441" s="85"/>
      <c r="E441" s="197">
        <v>36577999.99676</v>
      </c>
      <c r="F441" s="14"/>
      <c r="G441" s="15"/>
      <c r="H441" s="16"/>
      <c r="I441" s="17"/>
      <c r="J441" s="17"/>
      <c r="K441" s="17"/>
      <c r="L441" s="419"/>
      <c r="M441" s="174"/>
      <c r="N441" s="326"/>
      <c r="Q441" s="517" t="s">
        <v>1368</v>
      </c>
    </row>
    <row r="442" spans="2:15" ht="16.5">
      <c r="B442" s="196"/>
      <c r="C442" s="196"/>
      <c r="D442" s="85"/>
      <c r="E442" s="197"/>
      <c r="F442" s="102" t="s">
        <v>961</v>
      </c>
      <c r="G442" s="10"/>
      <c r="H442" s="11"/>
      <c r="I442" s="12"/>
      <c r="J442" s="12"/>
      <c r="K442" s="12"/>
      <c r="L442" s="420">
        <f>L454</f>
        <v>7721825</v>
      </c>
      <c r="M442" s="17"/>
      <c r="N442" s="129"/>
      <c r="O442" t="s">
        <v>1368</v>
      </c>
    </row>
    <row r="443" spans="1:14" ht="16.5">
      <c r="A443" t="s">
        <v>566</v>
      </c>
      <c r="B443" s="196"/>
      <c r="C443" s="196"/>
      <c r="D443" s="198"/>
      <c r="E443" s="199">
        <v>1605000</v>
      </c>
      <c r="F443" s="14" t="s">
        <v>962</v>
      </c>
      <c r="G443" s="15" t="s">
        <v>890</v>
      </c>
      <c r="H443" s="16">
        <v>60</v>
      </c>
      <c r="I443" s="17">
        <v>1092.5</v>
      </c>
      <c r="J443" s="17"/>
      <c r="K443" s="17"/>
      <c r="L443" s="419">
        <f aca="true" t="shared" si="22" ref="L443:L451">H443*I443</f>
        <v>65550</v>
      </c>
      <c r="M443" s="105"/>
      <c r="N443" s="316"/>
    </row>
    <row r="444" spans="1:14" ht="14.25">
      <c r="A444" t="s">
        <v>566</v>
      </c>
      <c r="B444" s="196">
        <v>5</v>
      </c>
      <c r="C444" s="196">
        <v>8</v>
      </c>
      <c r="D444" s="85">
        <v>60</v>
      </c>
      <c r="E444" s="197">
        <v>65550</v>
      </c>
      <c r="F444" s="14" t="s">
        <v>1148</v>
      </c>
      <c r="G444" s="15" t="s">
        <v>649</v>
      </c>
      <c r="H444" s="16">
        <v>10</v>
      </c>
      <c r="I444" s="17">
        <v>2204</v>
      </c>
      <c r="J444" s="17"/>
      <c r="K444" s="17"/>
      <c r="L444" s="419">
        <f t="shared" si="22"/>
        <v>22040</v>
      </c>
      <c r="M444" s="17"/>
      <c r="N444" s="129"/>
    </row>
    <row r="445" spans="1:14" ht="15" thickBot="1">
      <c r="A445" t="s">
        <v>1464</v>
      </c>
      <c r="B445" s="196">
        <v>5</v>
      </c>
      <c r="C445" s="196">
        <v>8</v>
      </c>
      <c r="D445" s="85">
        <v>125</v>
      </c>
      <c r="E445" s="197">
        <v>623500</v>
      </c>
      <c r="F445" s="14" t="s">
        <v>967</v>
      </c>
      <c r="G445" s="15" t="s">
        <v>649</v>
      </c>
      <c r="H445" s="16">
        <v>20</v>
      </c>
      <c r="I445" s="17">
        <v>868.5</v>
      </c>
      <c r="J445" s="17"/>
      <c r="K445" s="17"/>
      <c r="L445" s="419">
        <f t="shared" si="22"/>
        <v>17370</v>
      </c>
      <c r="M445" s="17"/>
      <c r="N445" s="129"/>
    </row>
    <row r="446" spans="1:19" ht="14.25">
      <c r="A446" t="s">
        <v>568</v>
      </c>
      <c r="B446" s="196">
        <v>5</v>
      </c>
      <c r="C446" s="196">
        <v>8</v>
      </c>
      <c r="D446" s="85">
        <v>20</v>
      </c>
      <c r="E446" s="197">
        <v>17370</v>
      </c>
      <c r="F446" s="14" t="s">
        <v>968</v>
      </c>
      <c r="G446" s="15" t="s">
        <v>649</v>
      </c>
      <c r="H446" s="16">
        <v>4</v>
      </c>
      <c r="I446" s="17">
        <v>3190</v>
      </c>
      <c r="J446" s="17"/>
      <c r="K446" s="17"/>
      <c r="L446" s="419">
        <f t="shared" si="22"/>
        <v>12760</v>
      </c>
      <c r="M446" s="17"/>
      <c r="N446" s="129"/>
      <c r="Q446" s="509">
        <v>3</v>
      </c>
      <c r="R446" s="511">
        <v>4800</v>
      </c>
      <c r="S446" s="503">
        <f>+Q446*R446</f>
        <v>14400</v>
      </c>
    </row>
    <row r="447" spans="1:14" ht="14.25">
      <c r="A447" t="s">
        <v>567</v>
      </c>
      <c r="B447" s="196">
        <v>5</v>
      </c>
      <c r="C447" s="196">
        <v>8</v>
      </c>
      <c r="D447" s="85">
        <v>264</v>
      </c>
      <c r="E447" s="197">
        <v>663973.2</v>
      </c>
      <c r="F447" s="14" t="s">
        <v>966</v>
      </c>
      <c r="G447" s="15" t="s">
        <v>965</v>
      </c>
      <c r="H447" s="16">
        <v>125</v>
      </c>
      <c r="I447" s="17">
        <v>4988</v>
      </c>
      <c r="J447" s="17"/>
      <c r="K447" s="17"/>
      <c r="L447" s="419">
        <f t="shared" si="22"/>
        <v>623500</v>
      </c>
      <c r="M447" s="17"/>
      <c r="N447" s="129"/>
    </row>
    <row r="448" spans="1:14" ht="15" thickBot="1">
      <c r="A448" t="s">
        <v>567</v>
      </c>
      <c r="B448" s="196">
        <v>5</v>
      </c>
      <c r="C448" s="196">
        <v>8</v>
      </c>
      <c r="D448" s="85">
        <v>10</v>
      </c>
      <c r="E448" s="197">
        <v>22040</v>
      </c>
      <c r="F448" s="14" t="s">
        <v>964</v>
      </c>
      <c r="G448" s="15" t="s">
        <v>965</v>
      </c>
      <c r="H448" s="16">
        <v>264</v>
      </c>
      <c r="I448" s="17">
        <v>2515.05</v>
      </c>
      <c r="J448" s="17"/>
      <c r="K448" s="17"/>
      <c r="L448" s="419">
        <f t="shared" si="22"/>
        <v>663973.2000000001</v>
      </c>
      <c r="M448" s="17"/>
      <c r="N448" s="129"/>
    </row>
    <row r="449" spans="1:14" ht="15" thickBot="1">
      <c r="A449" t="s">
        <v>189</v>
      </c>
      <c r="B449" s="196">
        <v>5</v>
      </c>
      <c r="C449" s="196">
        <v>8</v>
      </c>
      <c r="D449" s="85">
        <v>4</v>
      </c>
      <c r="E449" s="197">
        <v>12760</v>
      </c>
      <c r="F449" s="507" t="s">
        <v>187</v>
      </c>
      <c r="G449" s="15" t="s">
        <v>649</v>
      </c>
      <c r="H449" s="16">
        <v>30</v>
      </c>
      <c r="I449" s="17">
        <v>2552</v>
      </c>
      <c r="J449" s="17"/>
      <c r="K449" s="17"/>
      <c r="L449" s="419">
        <f t="shared" si="22"/>
        <v>76560</v>
      </c>
      <c r="M449" s="17"/>
      <c r="N449" s="129"/>
    </row>
    <row r="450" spans="1:19" ht="15" thickBot="1">
      <c r="A450" t="s">
        <v>189</v>
      </c>
      <c r="B450" s="196"/>
      <c r="C450" s="196"/>
      <c r="D450" s="85"/>
      <c r="E450" s="197"/>
      <c r="F450" s="508" t="s">
        <v>188</v>
      </c>
      <c r="G450" s="15" t="s">
        <v>649</v>
      </c>
      <c r="H450" s="16">
        <v>4</v>
      </c>
      <c r="I450" s="17">
        <f>6820.6+47.35</f>
        <v>6867.950000000001</v>
      </c>
      <c r="J450" s="17"/>
      <c r="K450" s="17"/>
      <c r="L450" s="419">
        <f t="shared" si="22"/>
        <v>27471.800000000003</v>
      </c>
      <c r="M450" s="17"/>
      <c r="N450" s="129"/>
      <c r="Q450" s="509">
        <v>1</v>
      </c>
      <c r="R450" s="503">
        <v>15600</v>
      </c>
      <c r="S450" s="503">
        <f>+Q450*R450</f>
        <v>15600</v>
      </c>
    </row>
    <row r="451" spans="1:19" ht="15" thickBot="1">
      <c r="A451" t="s">
        <v>569</v>
      </c>
      <c r="B451" s="196"/>
      <c r="C451" s="196"/>
      <c r="D451" s="85"/>
      <c r="E451" s="197"/>
      <c r="F451" s="14" t="s">
        <v>969</v>
      </c>
      <c r="G451" s="15" t="s">
        <v>890</v>
      </c>
      <c r="H451" s="16">
        <v>1750</v>
      </c>
      <c r="I451" s="17">
        <v>1301.8</v>
      </c>
      <c r="J451" s="17"/>
      <c r="K451" s="17"/>
      <c r="L451" s="419">
        <f t="shared" si="22"/>
        <v>2278150</v>
      </c>
      <c r="M451" s="17"/>
      <c r="N451" s="129"/>
      <c r="Q451" s="510">
        <v>1</v>
      </c>
      <c r="R451" s="505">
        <v>12800</v>
      </c>
      <c r="S451" s="505">
        <f>+Q451*R451</f>
        <v>12800</v>
      </c>
    </row>
    <row r="452" spans="1:19" ht="15" thickBot="1">
      <c r="A452" t="s">
        <v>569</v>
      </c>
      <c r="B452" s="196">
        <v>5</v>
      </c>
      <c r="C452" s="196">
        <v>8</v>
      </c>
      <c r="D452" s="85">
        <v>4</v>
      </c>
      <c r="E452" s="197">
        <v>27471.8</v>
      </c>
      <c r="F452" s="14" t="s">
        <v>971</v>
      </c>
      <c r="G452" s="15"/>
      <c r="H452" s="16"/>
      <c r="I452" s="17"/>
      <c r="J452" s="17"/>
      <c r="K452" s="17"/>
      <c r="L452" s="419">
        <f>100000+388625-276000</f>
        <v>212625</v>
      </c>
      <c r="M452" s="17"/>
      <c r="N452" s="129"/>
      <c r="Q452" s="510">
        <v>6</v>
      </c>
      <c r="R452" s="512">
        <v>1200</v>
      </c>
      <c r="S452" s="505">
        <f>+Q452*R452</f>
        <v>7200</v>
      </c>
    </row>
    <row r="453" spans="1:14" ht="14.25">
      <c r="A453" t="s">
        <v>569</v>
      </c>
      <c r="B453" s="196">
        <v>5</v>
      </c>
      <c r="C453" s="196">
        <v>8</v>
      </c>
      <c r="D453" s="85">
        <v>30</v>
      </c>
      <c r="E453" s="197">
        <v>76560</v>
      </c>
      <c r="F453" s="14" t="s">
        <v>970</v>
      </c>
      <c r="G453" s="15"/>
      <c r="H453" s="16"/>
      <c r="I453" s="17"/>
      <c r="J453" s="17"/>
      <c r="K453" s="17"/>
      <c r="L453" s="419">
        <f>SUM(L444:L452)</f>
        <v>3934450</v>
      </c>
      <c r="M453" s="17"/>
      <c r="N453" s="129"/>
    </row>
    <row r="454" spans="2:14" ht="14.25">
      <c r="B454" s="196">
        <v>5</v>
      </c>
      <c r="C454" s="196">
        <v>8</v>
      </c>
      <c r="D454" s="85">
        <v>1750</v>
      </c>
      <c r="E454" s="197">
        <v>2278150</v>
      </c>
      <c r="F454" s="14" t="s">
        <v>703</v>
      </c>
      <c r="G454" s="15"/>
      <c r="H454" s="16"/>
      <c r="I454" s="17" t="s">
        <v>1368</v>
      </c>
      <c r="J454" s="17"/>
      <c r="K454" s="17"/>
      <c r="L454" s="419">
        <f>SUM(L443:L453)-L452</f>
        <v>7721825</v>
      </c>
      <c r="M454" s="17"/>
      <c r="N454" s="129"/>
    </row>
    <row r="455" spans="2:14" ht="14.25">
      <c r="B455" s="196"/>
      <c r="C455" s="196"/>
      <c r="D455" s="85"/>
      <c r="E455" s="197">
        <v>1473057.7</v>
      </c>
      <c r="F455" s="14" t="s">
        <v>1368</v>
      </c>
      <c r="G455" s="15"/>
      <c r="H455" s="16"/>
      <c r="I455" s="17"/>
      <c r="J455" s="17"/>
      <c r="K455" s="17"/>
      <c r="L455" s="419"/>
      <c r="M455" s="17"/>
      <c r="N455" s="129"/>
    </row>
    <row r="456" spans="2:15" ht="14.25">
      <c r="B456" s="196"/>
      <c r="C456" s="196"/>
      <c r="D456" s="85"/>
      <c r="E456" s="197">
        <v>131942.3</v>
      </c>
      <c r="F456" s="14"/>
      <c r="G456" s="15"/>
      <c r="H456" s="16"/>
      <c r="I456" s="17"/>
      <c r="J456" s="17"/>
      <c r="K456" s="17"/>
      <c r="L456" s="419"/>
      <c r="M456" s="17"/>
      <c r="N456" s="129"/>
      <c r="O456" t="s">
        <v>1368</v>
      </c>
    </row>
    <row r="457" spans="2:14" ht="15">
      <c r="B457" s="196"/>
      <c r="C457" s="196"/>
      <c r="D457" s="85"/>
      <c r="E457" s="197"/>
      <c r="F457" s="102" t="s">
        <v>972</v>
      </c>
      <c r="G457" s="15"/>
      <c r="H457" s="16"/>
      <c r="I457" s="17"/>
      <c r="J457" s="12"/>
      <c r="K457" s="12"/>
      <c r="L457" s="429">
        <f>L476</f>
        <v>48062000</v>
      </c>
      <c r="M457" s="17"/>
      <c r="N457" s="129"/>
    </row>
    <row r="458" spans="1:14" ht="15">
      <c r="A458" t="s">
        <v>1458</v>
      </c>
      <c r="B458" s="196">
        <v>5</v>
      </c>
      <c r="C458" s="196">
        <v>8</v>
      </c>
      <c r="D458" s="85">
        <v>10</v>
      </c>
      <c r="E458" s="197">
        <v>789994.8</v>
      </c>
      <c r="F458" s="309" t="s">
        <v>362</v>
      </c>
      <c r="G458" s="15"/>
      <c r="H458" s="631">
        <v>10</v>
      </c>
      <c r="I458" s="17">
        <v>80000.56</v>
      </c>
      <c r="J458" s="17"/>
      <c r="K458" s="17"/>
      <c r="L458" s="419">
        <f aca="true" t="shared" si="23" ref="L458:L474">I458*H458</f>
        <v>800005.6</v>
      </c>
      <c r="M458" s="17"/>
      <c r="N458" s="129"/>
    </row>
    <row r="459" spans="1:14" ht="15.75">
      <c r="A459" t="s">
        <v>1458</v>
      </c>
      <c r="B459" s="196">
        <v>5</v>
      </c>
      <c r="C459" s="196">
        <v>8</v>
      </c>
      <c r="D459" s="85">
        <v>10</v>
      </c>
      <c r="E459" s="197">
        <v>1155395.2</v>
      </c>
      <c r="F459" s="309" t="s">
        <v>361</v>
      </c>
      <c r="G459" s="15"/>
      <c r="H459" s="631">
        <v>10</v>
      </c>
      <c r="I459" s="17">
        <v>78999.48</v>
      </c>
      <c r="J459" s="17"/>
      <c r="K459" s="17"/>
      <c r="L459" s="419">
        <f t="shared" si="23"/>
        <v>789994.7999999999</v>
      </c>
      <c r="M459" s="17"/>
      <c r="N459" s="327"/>
    </row>
    <row r="460" spans="1:14" ht="15">
      <c r="A460" t="s">
        <v>1458</v>
      </c>
      <c r="B460" s="196"/>
      <c r="C460" s="196"/>
      <c r="D460" s="198"/>
      <c r="E460" s="199">
        <v>10271999.999999998</v>
      </c>
      <c r="F460" s="308" t="s">
        <v>358</v>
      </c>
      <c r="G460" s="15" t="s">
        <v>649</v>
      </c>
      <c r="H460" s="278">
        <v>24</v>
      </c>
      <c r="I460" s="277">
        <v>85000</v>
      </c>
      <c r="J460" s="17"/>
      <c r="K460" s="17"/>
      <c r="L460" s="419">
        <f t="shared" si="23"/>
        <v>2040000</v>
      </c>
      <c r="M460" s="17"/>
      <c r="N460" s="129"/>
    </row>
    <row r="461" spans="1:14" ht="15">
      <c r="A461" t="s">
        <v>1458</v>
      </c>
      <c r="B461" s="196"/>
      <c r="C461" s="196"/>
      <c r="D461" s="85">
        <v>10</v>
      </c>
      <c r="E461" s="197">
        <v>1700000</v>
      </c>
      <c r="F461" s="308" t="s">
        <v>359</v>
      </c>
      <c r="G461" s="15"/>
      <c r="H461" s="278">
        <v>20</v>
      </c>
      <c r="I461" s="277">
        <v>256360</v>
      </c>
      <c r="J461" s="17"/>
      <c r="K461" s="17"/>
      <c r="L461" s="419">
        <f t="shared" si="23"/>
        <v>5127200</v>
      </c>
      <c r="M461" s="17"/>
      <c r="N461" s="129"/>
    </row>
    <row r="462" spans="1:14" ht="15">
      <c r="A462" t="s">
        <v>1458</v>
      </c>
      <c r="B462" s="196">
        <v>5</v>
      </c>
      <c r="C462" s="196">
        <v>8</v>
      </c>
      <c r="D462" s="85">
        <v>20</v>
      </c>
      <c r="E462" s="197">
        <v>342022.4</v>
      </c>
      <c r="F462" s="309" t="s">
        <v>360</v>
      </c>
      <c r="G462" s="15"/>
      <c r="H462" s="631">
        <v>10</v>
      </c>
      <c r="I462" s="17">
        <f>115539.96-0.44</f>
        <v>115539.52</v>
      </c>
      <c r="J462" s="17"/>
      <c r="K462" s="17"/>
      <c r="L462" s="419">
        <f t="shared" si="23"/>
        <v>1155395.2</v>
      </c>
      <c r="M462" s="17"/>
      <c r="N462" s="129"/>
    </row>
    <row r="463" spans="1:14" ht="15">
      <c r="A463" t="s">
        <v>1458</v>
      </c>
      <c r="B463" s="196">
        <v>5</v>
      </c>
      <c r="C463" s="196">
        <v>8</v>
      </c>
      <c r="D463" s="85">
        <v>10</v>
      </c>
      <c r="E463" s="197">
        <v>800005.6</v>
      </c>
      <c r="F463" s="309" t="s">
        <v>363</v>
      </c>
      <c r="G463" s="15"/>
      <c r="H463" s="631">
        <v>10</v>
      </c>
      <c r="I463" s="17">
        <v>130800.44</v>
      </c>
      <c r="J463" s="17"/>
      <c r="K463" s="17"/>
      <c r="L463" s="419">
        <f t="shared" si="23"/>
        <v>1308004.4</v>
      </c>
      <c r="M463" s="17"/>
      <c r="N463" s="129"/>
    </row>
    <row r="464" spans="1:14" ht="15.75">
      <c r="A464" t="s">
        <v>1458</v>
      </c>
      <c r="B464" s="196">
        <v>5</v>
      </c>
      <c r="C464" s="196">
        <v>8</v>
      </c>
      <c r="D464" s="85">
        <v>24</v>
      </c>
      <c r="E464" s="197">
        <v>2040000</v>
      </c>
      <c r="F464" s="308" t="s">
        <v>667</v>
      </c>
      <c r="G464" s="15"/>
      <c r="H464" s="278">
        <v>4</v>
      </c>
      <c r="I464" s="277">
        <v>151000</v>
      </c>
      <c r="J464" s="17"/>
      <c r="K464" s="17"/>
      <c r="L464" s="419">
        <f t="shared" si="23"/>
        <v>604000</v>
      </c>
      <c r="M464" s="104"/>
      <c r="N464" s="129"/>
    </row>
    <row r="465" spans="1:14" ht="15">
      <c r="A465" t="s">
        <v>1458</v>
      </c>
      <c r="B465" s="196">
        <v>5</v>
      </c>
      <c r="C465" s="196">
        <v>8</v>
      </c>
      <c r="D465" s="85">
        <v>64</v>
      </c>
      <c r="E465" s="197">
        <v>13248000</v>
      </c>
      <c r="F465" s="308" t="s">
        <v>669</v>
      </c>
      <c r="G465" s="15"/>
      <c r="H465" s="278">
        <v>10</v>
      </c>
      <c r="I465" s="277">
        <v>265000</v>
      </c>
      <c r="J465" s="17"/>
      <c r="K465" s="17"/>
      <c r="L465" s="419">
        <f t="shared" si="23"/>
        <v>2650000</v>
      </c>
      <c r="M465" s="17"/>
      <c r="N465" s="129"/>
    </row>
    <row r="466" spans="1:14" ht="15">
      <c r="A466" t="s">
        <v>1458</v>
      </c>
      <c r="B466" s="196">
        <v>5</v>
      </c>
      <c r="C466" s="196">
        <v>8</v>
      </c>
      <c r="D466" s="85">
        <v>4</v>
      </c>
      <c r="E466" s="197">
        <v>604000</v>
      </c>
      <c r="F466" s="679" t="s">
        <v>668</v>
      </c>
      <c r="G466" s="15"/>
      <c r="H466" s="278">
        <v>64</v>
      </c>
      <c r="I466" s="277">
        <v>207000</v>
      </c>
      <c r="J466" s="17"/>
      <c r="K466" s="17"/>
      <c r="L466" s="419">
        <f t="shared" si="23"/>
        <v>13248000</v>
      </c>
      <c r="M466" s="17"/>
      <c r="N466" s="129"/>
    </row>
    <row r="467" spans="1:14" ht="15">
      <c r="A467" t="s">
        <v>1458</v>
      </c>
      <c r="B467" s="196">
        <v>5</v>
      </c>
      <c r="C467" s="196">
        <v>8</v>
      </c>
      <c r="D467" s="85">
        <v>10</v>
      </c>
      <c r="E467" s="197">
        <v>1308004.4</v>
      </c>
      <c r="F467" s="309" t="s">
        <v>364</v>
      </c>
      <c r="G467" s="15"/>
      <c r="H467" s="283">
        <v>10</v>
      </c>
      <c r="I467" s="129">
        <v>90099.51</v>
      </c>
      <c r="J467" s="17"/>
      <c r="K467" s="17"/>
      <c r="L467" s="419">
        <f t="shared" si="23"/>
        <v>900995.1</v>
      </c>
      <c r="M467" s="17"/>
      <c r="N467" s="129"/>
    </row>
    <row r="468" spans="1:14" ht="15">
      <c r="A468" t="s">
        <v>1458</v>
      </c>
      <c r="B468" s="196"/>
      <c r="C468" s="196"/>
      <c r="D468" s="85">
        <v>10</v>
      </c>
      <c r="E468" s="197">
        <v>2650000</v>
      </c>
      <c r="F468" s="308" t="s">
        <v>670</v>
      </c>
      <c r="G468" s="15"/>
      <c r="H468" s="682">
        <v>10</v>
      </c>
      <c r="I468" s="683">
        <v>260000</v>
      </c>
      <c r="J468" s="17"/>
      <c r="K468" s="17"/>
      <c r="L468" s="419">
        <f t="shared" si="23"/>
        <v>2600000</v>
      </c>
      <c r="M468" s="17"/>
      <c r="N468" s="129"/>
    </row>
    <row r="469" spans="1:14" ht="15">
      <c r="A469" t="s">
        <v>1458</v>
      </c>
      <c r="B469" s="196"/>
      <c r="C469" s="196"/>
      <c r="D469" s="85">
        <v>10</v>
      </c>
      <c r="E469" s="197">
        <v>2600000</v>
      </c>
      <c r="F469" s="308" t="s">
        <v>671</v>
      </c>
      <c r="G469" s="15"/>
      <c r="H469" s="682">
        <v>10</v>
      </c>
      <c r="I469" s="683">
        <v>300000</v>
      </c>
      <c r="J469" s="17"/>
      <c r="K469" s="17"/>
      <c r="L469" s="419">
        <f t="shared" si="23"/>
        <v>3000000</v>
      </c>
      <c r="M469" s="17"/>
      <c r="N469" s="129"/>
    </row>
    <row r="470" spans="1:14" ht="15">
      <c r="A470" t="s">
        <v>1458</v>
      </c>
      <c r="B470" s="196"/>
      <c r="C470" s="196"/>
      <c r="D470" s="85">
        <v>10</v>
      </c>
      <c r="E470" s="197">
        <v>3000000</v>
      </c>
      <c r="F470" s="308" t="s">
        <v>672</v>
      </c>
      <c r="G470" s="15"/>
      <c r="H470" s="682">
        <v>10</v>
      </c>
      <c r="I470" s="683">
        <v>170000</v>
      </c>
      <c r="J470" s="17"/>
      <c r="K470" s="17"/>
      <c r="L470" s="419">
        <f t="shared" si="23"/>
        <v>1700000</v>
      </c>
      <c r="M470" s="17"/>
      <c r="N470" s="129"/>
    </row>
    <row r="471" spans="1:14" ht="15">
      <c r="A471" t="s">
        <v>1458</v>
      </c>
      <c r="B471" s="196">
        <v>5</v>
      </c>
      <c r="C471" s="196">
        <v>8</v>
      </c>
      <c r="D471" s="85">
        <v>30</v>
      </c>
      <c r="E471" s="197">
        <v>542984.4</v>
      </c>
      <c r="F471" s="308" t="s">
        <v>366</v>
      </c>
      <c r="G471" s="15"/>
      <c r="H471" s="283">
        <v>30</v>
      </c>
      <c r="I471" s="129">
        <v>19202.25</v>
      </c>
      <c r="J471" s="17"/>
      <c r="K471" s="17"/>
      <c r="L471" s="419">
        <f t="shared" si="23"/>
        <v>576067.5</v>
      </c>
      <c r="M471" s="17"/>
      <c r="N471" s="129"/>
    </row>
    <row r="472" spans="1:14" ht="15">
      <c r="A472" t="s">
        <v>1458</v>
      </c>
      <c r="B472" s="196">
        <v>5</v>
      </c>
      <c r="C472" s="196">
        <v>8</v>
      </c>
      <c r="D472" s="85">
        <v>30</v>
      </c>
      <c r="E472" s="197">
        <v>576067.5</v>
      </c>
      <c r="F472" s="308" t="s">
        <v>367</v>
      </c>
      <c r="G472" s="15"/>
      <c r="H472" s="283">
        <v>20</v>
      </c>
      <c r="I472" s="129">
        <f>34800-933.47</f>
        <v>33866.53</v>
      </c>
      <c r="J472" s="17"/>
      <c r="K472" s="17"/>
      <c r="L472" s="419">
        <f t="shared" si="23"/>
        <v>677330.6</v>
      </c>
      <c r="M472" s="17"/>
      <c r="N472" s="129"/>
    </row>
    <row r="473" spans="1:14" ht="14.25">
      <c r="A473" t="s">
        <v>1458</v>
      </c>
      <c r="B473" s="196"/>
      <c r="C473" s="196"/>
      <c r="D473" s="85">
        <v>20</v>
      </c>
      <c r="E473" s="197">
        <v>5127200</v>
      </c>
      <c r="F473" s="680" t="s">
        <v>973</v>
      </c>
      <c r="G473" s="15" t="s">
        <v>649</v>
      </c>
      <c r="H473" s="681">
        <v>20</v>
      </c>
      <c r="I473" s="129">
        <f>15000+2101.12</f>
        <v>17101.12</v>
      </c>
      <c r="J473" s="17"/>
      <c r="K473" s="17"/>
      <c r="L473" s="419">
        <f t="shared" si="23"/>
        <v>342022.39999999997</v>
      </c>
      <c r="M473" s="17"/>
      <c r="N473" s="129"/>
    </row>
    <row r="474" spans="1:14" ht="15">
      <c r="A474" t="s">
        <v>1458</v>
      </c>
      <c r="B474" s="196">
        <v>5</v>
      </c>
      <c r="C474" s="196">
        <v>8</v>
      </c>
      <c r="D474" s="85">
        <v>10</v>
      </c>
      <c r="E474" s="197">
        <v>900995.1</v>
      </c>
      <c r="F474" s="309" t="s">
        <v>365</v>
      </c>
      <c r="G474" s="15"/>
      <c r="H474" s="283">
        <v>30</v>
      </c>
      <c r="I474" s="129">
        <v>18099.48</v>
      </c>
      <c r="J474" s="17"/>
      <c r="K474" s="17"/>
      <c r="L474" s="419">
        <f t="shared" si="23"/>
        <v>542984.4</v>
      </c>
      <c r="M474" s="17"/>
      <c r="N474" s="129"/>
    </row>
    <row r="475" spans="2:14" ht="15">
      <c r="B475" s="196">
        <v>5</v>
      </c>
      <c r="C475" s="196">
        <v>8</v>
      </c>
      <c r="D475" s="85">
        <v>20</v>
      </c>
      <c r="E475" s="197">
        <v>677330.6</v>
      </c>
      <c r="F475" s="310" t="s">
        <v>425</v>
      </c>
      <c r="G475" s="15"/>
      <c r="H475" s="307"/>
      <c r="I475" s="129"/>
      <c r="J475" s="17"/>
      <c r="K475" s="17"/>
      <c r="L475" s="419">
        <v>10000000</v>
      </c>
      <c r="M475" s="17"/>
      <c r="N475" s="129"/>
    </row>
    <row r="476" spans="2:14" ht="14.25">
      <c r="B476" s="196"/>
      <c r="C476" s="196"/>
      <c r="D476" s="85"/>
      <c r="E476" s="197"/>
      <c r="F476" s="14" t="s">
        <v>703</v>
      </c>
      <c r="G476" s="15"/>
      <c r="H476" s="16"/>
      <c r="I476" s="17"/>
      <c r="J476" s="17"/>
      <c r="K476" s="17"/>
      <c r="L476" s="419">
        <f>SUM(L458:L475)</f>
        <v>48062000</v>
      </c>
      <c r="M476" s="17"/>
      <c r="N476" s="129"/>
    </row>
    <row r="477" spans="2:14" ht="14.25">
      <c r="B477" s="196"/>
      <c r="C477" s="196"/>
      <c r="D477" s="85"/>
      <c r="E477" s="197">
        <v>10271999.999999998</v>
      </c>
      <c r="F477" s="14"/>
      <c r="G477" s="15"/>
      <c r="H477" s="16"/>
      <c r="I477" s="17"/>
      <c r="J477" s="17"/>
      <c r="K477" s="17"/>
      <c r="L477" s="419"/>
      <c r="M477" s="17"/>
      <c r="N477" s="129"/>
    </row>
    <row r="478" spans="2:14" ht="14.25">
      <c r="B478" s="196"/>
      <c r="C478" s="196"/>
      <c r="D478" s="85"/>
      <c r="E478" s="197"/>
      <c r="F478" s="14"/>
      <c r="G478" s="15"/>
      <c r="H478" s="16"/>
      <c r="I478" s="17"/>
      <c r="J478" s="17"/>
      <c r="K478" s="17"/>
      <c r="L478" s="419"/>
      <c r="M478" s="17"/>
      <c r="N478" s="129"/>
    </row>
    <row r="479" spans="2:14" ht="15">
      <c r="B479" s="196"/>
      <c r="C479" s="196"/>
      <c r="D479" s="85"/>
      <c r="E479" s="197"/>
      <c r="F479" s="102" t="s">
        <v>239</v>
      </c>
      <c r="G479" s="15"/>
      <c r="H479" s="16"/>
      <c r="I479" s="17"/>
      <c r="J479" s="17"/>
      <c r="K479" s="17"/>
      <c r="L479" s="419"/>
      <c r="M479" s="17"/>
      <c r="N479" s="129"/>
    </row>
    <row r="480" spans="2:14" ht="15">
      <c r="B480" s="196"/>
      <c r="C480" s="196"/>
      <c r="D480" s="85"/>
      <c r="E480" s="197"/>
      <c r="F480" s="181" t="s">
        <v>240</v>
      </c>
      <c r="G480" s="15"/>
      <c r="H480" s="16"/>
      <c r="I480" s="12"/>
      <c r="J480" s="12"/>
      <c r="K480" s="12"/>
      <c r="L480" s="429">
        <f>SUM(L481:L482)</f>
        <v>0</v>
      </c>
      <c r="M480" s="17"/>
      <c r="N480" s="129"/>
    </row>
    <row r="481" spans="2:14" ht="15.75">
      <c r="B481" s="196"/>
      <c r="C481" s="196"/>
      <c r="D481" s="85"/>
      <c r="E481" s="197"/>
      <c r="F481" s="181" t="s">
        <v>241</v>
      </c>
      <c r="G481" s="10"/>
      <c r="H481" s="283">
        <v>21000</v>
      </c>
      <c r="I481" s="129">
        <v>1150.0119</v>
      </c>
      <c r="J481" s="17"/>
      <c r="K481" s="17"/>
      <c r="L481" s="419">
        <v>0</v>
      </c>
      <c r="M481" s="104"/>
      <c r="N481" s="327"/>
    </row>
    <row r="482" spans="2:16" ht="15">
      <c r="B482" s="196"/>
      <c r="C482" s="196"/>
      <c r="D482" s="85"/>
      <c r="E482" s="197"/>
      <c r="F482" s="562"/>
      <c r="G482" s="10"/>
      <c r="H482" s="283">
        <v>15095</v>
      </c>
      <c r="I482" s="129">
        <v>1050</v>
      </c>
      <c r="J482" s="17"/>
      <c r="K482" s="17"/>
      <c r="L482" s="419">
        <v>0</v>
      </c>
      <c r="M482" s="17"/>
      <c r="N482" s="129" t="s">
        <v>1024</v>
      </c>
      <c r="O482">
        <f>O484/I482</f>
        <v>8421.6</v>
      </c>
      <c r="P482" s="333" t="s">
        <v>1368</v>
      </c>
    </row>
    <row r="483" spans="2:16" ht="15">
      <c r="B483" s="196"/>
      <c r="C483" s="196"/>
      <c r="D483" s="85"/>
      <c r="E483" s="197"/>
      <c r="F483" s="14"/>
      <c r="G483" s="10"/>
      <c r="H483" s="307"/>
      <c r="I483" s="129"/>
      <c r="J483" s="17"/>
      <c r="K483" s="17"/>
      <c r="L483" s="419"/>
      <c r="M483" s="17"/>
      <c r="N483" s="129"/>
      <c r="P483" s="333"/>
    </row>
    <row r="484" spans="2:16" ht="15.75" thickBot="1">
      <c r="B484" s="196"/>
      <c r="C484" s="196"/>
      <c r="D484" s="85"/>
      <c r="E484" s="197"/>
      <c r="F484" s="102" t="s">
        <v>974</v>
      </c>
      <c r="G484" s="15"/>
      <c r="H484" s="16"/>
      <c r="I484" s="12"/>
      <c r="J484" s="12"/>
      <c r="K484" s="12"/>
      <c r="L484" s="429">
        <f>SUM(L485:L1039)</f>
        <v>45000000.00428573</v>
      </c>
      <c r="M484" s="17"/>
      <c r="N484" s="129" t="s">
        <v>1024</v>
      </c>
      <c r="O484" s="286">
        <f>8842680-L480</f>
        <v>8842680</v>
      </c>
      <c r="P484" t="s">
        <v>1368</v>
      </c>
    </row>
    <row r="485" spans="1:14" ht="15">
      <c r="A485" t="s">
        <v>570</v>
      </c>
      <c r="B485" s="196"/>
      <c r="C485" s="196"/>
      <c r="D485" s="198"/>
      <c r="E485" s="104">
        <v>38418000.00000001</v>
      </c>
      <c r="F485" s="14" t="s">
        <v>975</v>
      </c>
      <c r="G485" s="15" t="s">
        <v>649</v>
      </c>
      <c r="H485" s="16">
        <v>75</v>
      </c>
      <c r="I485" s="543">
        <v>2140</v>
      </c>
      <c r="J485" s="17"/>
      <c r="K485" s="17"/>
      <c r="L485" s="419">
        <f aca="true" t="shared" si="24" ref="L485:L491">(H485*I485)</f>
        <v>160500</v>
      </c>
      <c r="M485" s="18"/>
      <c r="N485" s="317"/>
    </row>
    <row r="486" spans="1:14" ht="15">
      <c r="A486" t="s">
        <v>570</v>
      </c>
      <c r="B486" s="196">
        <v>4</v>
      </c>
      <c r="C486" s="196">
        <v>2</v>
      </c>
      <c r="D486" s="118">
        <v>1</v>
      </c>
      <c r="E486" s="197">
        <v>39304.81</v>
      </c>
      <c r="F486" s="568" t="s">
        <v>821</v>
      </c>
      <c r="G486" s="15" t="s">
        <v>649</v>
      </c>
      <c r="H486" s="16">
        <v>75</v>
      </c>
      <c r="I486" s="17">
        <v>1750</v>
      </c>
      <c r="J486" s="17"/>
      <c r="K486" s="17"/>
      <c r="L486" s="419">
        <f t="shared" si="24"/>
        <v>131250</v>
      </c>
      <c r="M486" s="104"/>
      <c r="N486" s="327"/>
    </row>
    <row r="487" spans="1:14" ht="14.25">
      <c r="A487" t="s">
        <v>570</v>
      </c>
      <c r="B487" s="196">
        <v>4</v>
      </c>
      <c r="C487" s="196">
        <v>2</v>
      </c>
      <c r="D487" s="118">
        <v>8</v>
      </c>
      <c r="E487" s="197">
        <v>17632</v>
      </c>
      <c r="F487" s="595" t="s">
        <v>820</v>
      </c>
      <c r="G487" s="87"/>
      <c r="H487" s="16">
        <v>10</v>
      </c>
      <c r="I487" s="17">
        <v>1700</v>
      </c>
      <c r="J487" s="17"/>
      <c r="K487" s="17"/>
      <c r="L487" s="419">
        <f t="shared" si="24"/>
        <v>17000</v>
      </c>
      <c r="M487" s="17"/>
      <c r="N487" s="129"/>
    </row>
    <row r="488" spans="1:14" ht="15">
      <c r="A488" t="s">
        <v>570</v>
      </c>
      <c r="B488" s="196">
        <v>4</v>
      </c>
      <c r="C488" s="196">
        <v>2</v>
      </c>
      <c r="D488" s="118">
        <v>20</v>
      </c>
      <c r="E488" s="197">
        <v>35000</v>
      </c>
      <c r="F488" s="596" t="s">
        <v>155</v>
      </c>
      <c r="G488" s="87" t="s">
        <v>1610</v>
      </c>
      <c r="H488" s="176">
        <v>10</v>
      </c>
      <c r="I488" s="17">
        <v>2204</v>
      </c>
      <c r="J488" s="17"/>
      <c r="K488" s="17"/>
      <c r="L488" s="419">
        <f t="shared" si="24"/>
        <v>22040</v>
      </c>
      <c r="M488" s="17"/>
      <c r="N488" s="129"/>
    </row>
    <row r="489" spans="1:14" ht="15">
      <c r="A489" t="s">
        <v>570</v>
      </c>
      <c r="B489" s="196">
        <v>4</v>
      </c>
      <c r="C489" s="196">
        <v>2</v>
      </c>
      <c r="D489" s="118">
        <v>10</v>
      </c>
      <c r="E489" s="197">
        <v>22040</v>
      </c>
      <c r="F489" s="112" t="s">
        <v>313</v>
      </c>
      <c r="G489" s="87" t="s">
        <v>1610</v>
      </c>
      <c r="H489" s="176">
        <v>8</v>
      </c>
      <c r="I489" s="17">
        <v>2204</v>
      </c>
      <c r="J489" s="17"/>
      <c r="K489" s="17"/>
      <c r="L489" s="419">
        <f t="shared" si="24"/>
        <v>17632</v>
      </c>
      <c r="M489" s="17"/>
      <c r="N489" s="129"/>
    </row>
    <row r="490" spans="1:14" ht="14.25">
      <c r="A490" t="s">
        <v>570</v>
      </c>
      <c r="B490" s="196">
        <v>4</v>
      </c>
      <c r="C490" s="196">
        <v>2</v>
      </c>
      <c r="D490" s="118">
        <v>1</v>
      </c>
      <c r="E490" s="197">
        <v>1700</v>
      </c>
      <c r="F490" s="592" t="s">
        <v>156</v>
      </c>
      <c r="G490" s="87" t="s">
        <v>1610</v>
      </c>
      <c r="H490" s="16">
        <v>1</v>
      </c>
      <c r="I490" s="17">
        <v>1700</v>
      </c>
      <c r="J490" s="17"/>
      <c r="K490" s="17"/>
      <c r="L490" s="419">
        <f t="shared" si="24"/>
        <v>1700</v>
      </c>
      <c r="M490" s="17"/>
      <c r="N490" s="129"/>
    </row>
    <row r="491" spans="1:14" ht="15">
      <c r="A491" t="s">
        <v>570</v>
      </c>
      <c r="B491" s="196">
        <v>4</v>
      </c>
      <c r="C491" s="196">
        <v>2</v>
      </c>
      <c r="D491" s="118">
        <v>8</v>
      </c>
      <c r="E491" s="197">
        <v>17632</v>
      </c>
      <c r="F491" s="597" t="s">
        <v>353</v>
      </c>
      <c r="G491" s="87"/>
      <c r="H491" s="176">
        <v>10</v>
      </c>
      <c r="I491" s="17">
        <v>2340</v>
      </c>
      <c r="J491" s="17"/>
      <c r="K491" s="17"/>
      <c r="L491" s="419">
        <f t="shared" si="24"/>
        <v>23400</v>
      </c>
      <c r="M491" s="17"/>
      <c r="N491" s="129"/>
    </row>
    <row r="492" spans="1:14" ht="14.25">
      <c r="A492" t="s">
        <v>1467</v>
      </c>
      <c r="B492" s="196">
        <v>4</v>
      </c>
      <c r="C492" s="196">
        <v>2</v>
      </c>
      <c r="D492" s="118">
        <v>1</v>
      </c>
      <c r="E492" s="197">
        <v>1700</v>
      </c>
      <c r="F492" s="94" t="s">
        <v>258</v>
      </c>
      <c r="G492" s="87" t="s">
        <v>1610</v>
      </c>
      <c r="H492" s="16"/>
      <c r="I492" s="17"/>
      <c r="J492" s="17"/>
      <c r="K492" s="17"/>
      <c r="L492" s="419"/>
      <c r="M492" s="17"/>
      <c r="N492" s="129"/>
    </row>
    <row r="493" spans="1:14" ht="14.25">
      <c r="A493" t="s">
        <v>41</v>
      </c>
      <c r="B493" s="196">
        <v>4</v>
      </c>
      <c r="C493" s="196">
        <v>2</v>
      </c>
      <c r="D493" s="118"/>
      <c r="E493" s="197"/>
      <c r="F493" s="94" t="s">
        <v>479</v>
      </c>
      <c r="G493" s="87" t="s">
        <v>1577</v>
      </c>
      <c r="H493" s="16">
        <v>2</v>
      </c>
      <c r="I493" s="123">
        <v>550</v>
      </c>
      <c r="J493" s="12"/>
      <c r="K493" s="12"/>
      <c r="L493" s="419">
        <f>(H493*I493)</f>
        <v>1100</v>
      </c>
      <c r="M493" s="17"/>
      <c r="N493" s="129"/>
    </row>
    <row r="494" spans="1:14" ht="15">
      <c r="A494" t="s">
        <v>41</v>
      </c>
      <c r="B494" s="196">
        <v>4</v>
      </c>
      <c r="C494" s="196">
        <v>2</v>
      </c>
      <c r="D494" s="118">
        <v>2</v>
      </c>
      <c r="E494" s="197">
        <v>1100</v>
      </c>
      <c r="F494" s="94" t="s">
        <v>480</v>
      </c>
      <c r="G494" s="87" t="s">
        <v>1610</v>
      </c>
      <c r="H494" s="100"/>
      <c r="I494" s="123">
        <v>370</v>
      </c>
      <c r="J494" s="12"/>
      <c r="K494" s="12"/>
      <c r="L494" s="422"/>
      <c r="M494" s="17"/>
      <c r="N494" s="129"/>
    </row>
    <row r="495" spans="1:14" ht="14.25">
      <c r="A495" t="s">
        <v>899</v>
      </c>
      <c r="B495" s="196">
        <v>4</v>
      </c>
      <c r="C495" s="196">
        <v>2</v>
      </c>
      <c r="D495" s="118"/>
      <c r="E495" s="197"/>
      <c r="F495" s="14" t="s">
        <v>976</v>
      </c>
      <c r="G495" s="87" t="s">
        <v>1610</v>
      </c>
      <c r="H495" s="16">
        <v>1</v>
      </c>
      <c r="I495" s="17">
        <v>22388</v>
      </c>
      <c r="J495" s="17"/>
      <c r="K495" s="17"/>
      <c r="L495" s="419">
        <f>(H495*I495)</f>
        <v>22388</v>
      </c>
      <c r="M495" s="17"/>
      <c r="N495" s="129"/>
    </row>
    <row r="496" spans="1:14" ht="15">
      <c r="A496" t="s">
        <v>903</v>
      </c>
      <c r="B496" s="196">
        <v>4</v>
      </c>
      <c r="C496" s="196">
        <v>2</v>
      </c>
      <c r="D496" s="16">
        <v>1</v>
      </c>
      <c r="E496" s="206">
        <v>22388</v>
      </c>
      <c r="F496" s="94" t="s">
        <v>305</v>
      </c>
      <c r="G496" s="92" t="s">
        <v>977</v>
      </c>
      <c r="H496" s="155">
        <v>1</v>
      </c>
      <c r="I496" s="12"/>
      <c r="J496" s="12"/>
      <c r="K496" s="12"/>
      <c r="L496" s="422"/>
      <c r="M496" s="13"/>
      <c r="N496" s="318"/>
    </row>
    <row r="497" spans="1:14" ht="14.25">
      <c r="A497" t="s">
        <v>572</v>
      </c>
      <c r="B497" s="196">
        <v>4</v>
      </c>
      <c r="C497" s="196">
        <v>2</v>
      </c>
      <c r="D497" s="155">
        <v>1</v>
      </c>
      <c r="E497" s="211"/>
      <c r="F497" s="2" t="s">
        <v>978</v>
      </c>
      <c r="G497" s="87" t="s">
        <v>1545</v>
      </c>
      <c r="H497" s="16">
        <v>50</v>
      </c>
      <c r="I497" s="17">
        <v>371.2</v>
      </c>
      <c r="J497" s="17"/>
      <c r="K497" s="17"/>
      <c r="L497" s="419">
        <f aca="true" t="shared" si="25" ref="L497:L543">(H497*I497)</f>
        <v>18560</v>
      </c>
      <c r="M497" s="17"/>
      <c r="N497" s="129"/>
    </row>
    <row r="498" spans="1:14" ht="15">
      <c r="A498" t="s">
        <v>572</v>
      </c>
      <c r="B498" s="196">
        <v>4</v>
      </c>
      <c r="C498" s="196">
        <v>2</v>
      </c>
      <c r="D498" s="16">
        <v>50</v>
      </c>
      <c r="E498" s="206">
        <v>18560</v>
      </c>
      <c r="F498" s="14" t="s">
        <v>979</v>
      </c>
      <c r="G498" s="92" t="s">
        <v>721</v>
      </c>
      <c r="H498" s="16">
        <v>1</v>
      </c>
      <c r="I498" s="17">
        <v>371.2</v>
      </c>
      <c r="J498" s="17"/>
      <c r="K498" s="17"/>
      <c r="L498" s="419">
        <f t="shared" si="25"/>
        <v>371.2</v>
      </c>
      <c r="M498" s="13"/>
      <c r="N498" s="318"/>
    </row>
    <row r="499" spans="1:14" ht="14.25">
      <c r="A499" t="s">
        <v>572</v>
      </c>
      <c r="B499" s="196">
        <v>4</v>
      </c>
      <c r="C499" s="196">
        <v>2</v>
      </c>
      <c r="D499" s="16">
        <v>1</v>
      </c>
      <c r="E499" s="206">
        <v>371.2</v>
      </c>
      <c r="F499" s="14" t="s">
        <v>1516</v>
      </c>
      <c r="G499" s="15" t="s">
        <v>721</v>
      </c>
      <c r="H499" s="16">
        <v>50</v>
      </c>
      <c r="I499" s="17">
        <v>371.2</v>
      </c>
      <c r="J499" s="17"/>
      <c r="K499" s="17"/>
      <c r="L499" s="419">
        <f t="shared" si="25"/>
        <v>18560</v>
      </c>
      <c r="M499" s="17"/>
      <c r="N499" s="129"/>
    </row>
    <row r="500" spans="1:14" ht="14.25">
      <c r="A500" t="s">
        <v>572</v>
      </c>
      <c r="B500" s="196">
        <v>4</v>
      </c>
      <c r="C500" s="196">
        <v>2</v>
      </c>
      <c r="D500" s="16">
        <v>50</v>
      </c>
      <c r="E500" s="206">
        <v>18560</v>
      </c>
      <c r="F500" s="14" t="s">
        <v>1517</v>
      </c>
      <c r="G500" s="15" t="s">
        <v>721</v>
      </c>
      <c r="H500" s="16">
        <v>1</v>
      </c>
      <c r="I500" s="17">
        <v>371.2</v>
      </c>
      <c r="J500" s="17"/>
      <c r="K500" s="17"/>
      <c r="L500" s="419">
        <f t="shared" si="25"/>
        <v>371.2</v>
      </c>
      <c r="M500" s="17"/>
      <c r="N500" s="129"/>
    </row>
    <row r="501" spans="1:14" ht="14.25">
      <c r="A501" t="s">
        <v>572</v>
      </c>
      <c r="B501" s="196">
        <v>4</v>
      </c>
      <c r="C501" s="196">
        <v>2</v>
      </c>
      <c r="D501" s="16">
        <v>1</v>
      </c>
      <c r="E501" s="206">
        <v>371.2</v>
      </c>
      <c r="F501" s="14" t="s">
        <v>980</v>
      </c>
      <c r="G501" s="15" t="s">
        <v>721</v>
      </c>
      <c r="H501" s="16">
        <v>1</v>
      </c>
      <c r="I501" s="17">
        <v>339.2</v>
      </c>
      <c r="J501" s="17"/>
      <c r="K501" s="17"/>
      <c r="L501" s="419">
        <f t="shared" si="25"/>
        <v>339.2</v>
      </c>
      <c r="M501" s="17"/>
      <c r="N501" s="129"/>
    </row>
    <row r="502" spans="1:14" ht="14.25">
      <c r="A502" t="s">
        <v>572</v>
      </c>
      <c r="B502" s="196">
        <v>4</v>
      </c>
      <c r="C502" s="196">
        <v>2</v>
      </c>
      <c r="D502" s="16">
        <v>1</v>
      </c>
      <c r="E502" s="206">
        <v>339.2</v>
      </c>
      <c r="F502" s="14" t="s">
        <v>981</v>
      </c>
      <c r="G502" s="15" t="s">
        <v>721</v>
      </c>
      <c r="H502" s="16">
        <v>200</v>
      </c>
      <c r="I502" s="17">
        <v>99</v>
      </c>
      <c r="J502" s="17"/>
      <c r="K502" s="17"/>
      <c r="L502" s="419">
        <f t="shared" si="25"/>
        <v>19800</v>
      </c>
      <c r="M502" s="17"/>
      <c r="N502" s="129"/>
    </row>
    <row r="503" spans="1:14" ht="14.25">
      <c r="A503" t="s">
        <v>573</v>
      </c>
      <c r="B503" s="196">
        <v>4</v>
      </c>
      <c r="C503" s="196">
        <v>2</v>
      </c>
      <c r="D503" s="16">
        <v>1</v>
      </c>
      <c r="E503" s="206">
        <v>230</v>
      </c>
      <c r="F503" s="83" t="s">
        <v>314</v>
      </c>
      <c r="G503" s="15" t="s">
        <v>721</v>
      </c>
      <c r="H503" s="16">
        <v>200</v>
      </c>
      <c r="I503" s="17">
        <v>200</v>
      </c>
      <c r="J503" s="17"/>
      <c r="K503" s="17"/>
      <c r="L503" s="419">
        <f t="shared" si="25"/>
        <v>40000</v>
      </c>
      <c r="M503" s="17"/>
      <c r="N503" s="129"/>
    </row>
    <row r="504" spans="1:14" ht="14.25">
      <c r="A504" t="s">
        <v>900</v>
      </c>
      <c r="B504" s="196">
        <v>4</v>
      </c>
      <c r="C504" s="196">
        <v>2</v>
      </c>
      <c r="D504" s="16">
        <v>1</v>
      </c>
      <c r="E504" s="206">
        <v>200</v>
      </c>
      <c r="F504" s="14" t="s">
        <v>574</v>
      </c>
      <c r="G504" s="15" t="s">
        <v>649</v>
      </c>
      <c r="H504" s="16">
        <v>1</v>
      </c>
      <c r="I504" s="17">
        <v>695</v>
      </c>
      <c r="J504" s="17"/>
      <c r="K504" s="17"/>
      <c r="L504" s="419">
        <f t="shared" si="25"/>
        <v>695</v>
      </c>
      <c r="M504" s="17"/>
      <c r="N504" s="129"/>
    </row>
    <row r="505" spans="1:14" ht="14.25">
      <c r="A505" t="s">
        <v>900</v>
      </c>
      <c r="B505" s="196">
        <v>4</v>
      </c>
      <c r="C505" s="196">
        <v>2</v>
      </c>
      <c r="D505" s="16">
        <v>1</v>
      </c>
      <c r="E505" s="206">
        <v>695</v>
      </c>
      <c r="F505" s="14" t="s">
        <v>982</v>
      </c>
      <c r="G505" s="15" t="s">
        <v>649</v>
      </c>
      <c r="H505" s="16">
        <v>1</v>
      </c>
      <c r="I505" s="17">
        <v>700</v>
      </c>
      <c r="J505" s="17"/>
      <c r="K505" s="17"/>
      <c r="L505" s="419">
        <f t="shared" si="25"/>
        <v>700</v>
      </c>
      <c r="M505" s="17"/>
      <c r="N505" s="129"/>
    </row>
    <row r="506" spans="1:14" ht="14.25">
      <c r="A506" t="s">
        <v>900</v>
      </c>
      <c r="B506" s="196">
        <v>4</v>
      </c>
      <c r="C506" s="196">
        <v>2</v>
      </c>
      <c r="D506" s="16">
        <v>1</v>
      </c>
      <c r="E506" s="206">
        <v>700</v>
      </c>
      <c r="F506" s="14" t="s">
        <v>984</v>
      </c>
      <c r="G506" s="15" t="s">
        <v>649</v>
      </c>
      <c r="H506" s="16">
        <v>1</v>
      </c>
      <c r="I506" s="17">
        <v>928</v>
      </c>
      <c r="J506" s="17"/>
      <c r="K506" s="17"/>
      <c r="L506" s="419">
        <f t="shared" si="25"/>
        <v>928</v>
      </c>
      <c r="M506" s="17"/>
      <c r="N506" s="129"/>
    </row>
    <row r="507" spans="1:14" ht="14.25">
      <c r="A507" t="s">
        <v>900</v>
      </c>
      <c r="B507" s="196">
        <v>4</v>
      </c>
      <c r="C507" s="196">
        <v>2</v>
      </c>
      <c r="D507" s="16">
        <v>1</v>
      </c>
      <c r="E507" s="206">
        <v>928</v>
      </c>
      <c r="F507" s="14" t="s">
        <v>985</v>
      </c>
      <c r="G507" s="15" t="s">
        <v>649</v>
      </c>
      <c r="H507" s="16">
        <v>1</v>
      </c>
      <c r="I507" s="17">
        <v>568.4</v>
      </c>
      <c r="J507" s="17"/>
      <c r="K507" s="17"/>
      <c r="L507" s="419">
        <f t="shared" si="25"/>
        <v>568.4</v>
      </c>
      <c r="M507" s="17"/>
      <c r="N507" s="129"/>
    </row>
    <row r="508" spans="1:14" ht="14.25">
      <c r="A508" t="s">
        <v>900</v>
      </c>
      <c r="B508" s="196">
        <v>4</v>
      </c>
      <c r="C508" s="196">
        <v>2</v>
      </c>
      <c r="D508" s="16">
        <v>1</v>
      </c>
      <c r="E508" s="206">
        <v>568.4</v>
      </c>
      <c r="F508" s="14" t="s">
        <v>986</v>
      </c>
      <c r="G508" s="15" t="s">
        <v>649</v>
      </c>
      <c r="H508" s="16">
        <v>1</v>
      </c>
      <c r="I508" s="17">
        <v>736</v>
      </c>
      <c r="J508" s="17"/>
      <c r="K508" s="17"/>
      <c r="L508" s="419">
        <f t="shared" si="25"/>
        <v>736</v>
      </c>
      <c r="M508" s="17"/>
      <c r="N508" s="129"/>
    </row>
    <row r="509" spans="1:14" ht="14.25">
      <c r="A509" t="s">
        <v>900</v>
      </c>
      <c r="B509" s="196">
        <v>4</v>
      </c>
      <c r="C509" s="196">
        <v>2</v>
      </c>
      <c r="D509" s="16">
        <v>1</v>
      </c>
      <c r="E509" s="206">
        <v>736</v>
      </c>
      <c r="F509" s="14" t="s">
        <v>987</v>
      </c>
      <c r="G509" s="15" t="s">
        <v>649</v>
      </c>
      <c r="H509" s="16">
        <v>1</v>
      </c>
      <c r="I509" s="17">
        <v>638</v>
      </c>
      <c r="J509" s="17"/>
      <c r="K509" s="17"/>
      <c r="L509" s="419">
        <f t="shared" si="25"/>
        <v>638</v>
      </c>
      <c r="M509" s="17"/>
      <c r="N509" s="129"/>
    </row>
    <row r="510" spans="1:14" ht="14.25">
      <c r="A510" t="s">
        <v>575</v>
      </c>
      <c r="B510" s="196">
        <v>4</v>
      </c>
      <c r="C510" s="196">
        <v>2</v>
      </c>
      <c r="D510" s="16">
        <v>1</v>
      </c>
      <c r="E510" s="206">
        <v>638</v>
      </c>
      <c r="F510" s="406" t="s">
        <v>252</v>
      </c>
      <c r="G510" s="15" t="s">
        <v>649</v>
      </c>
      <c r="H510" s="16">
        <v>1</v>
      </c>
      <c r="I510" s="116">
        <v>1500</v>
      </c>
      <c r="J510" s="17"/>
      <c r="K510" s="17"/>
      <c r="L510" s="419">
        <f t="shared" si="25"/>
        <v>1500</v>
      </c>
      <c r="M510" s="17"/>
      <c r="N510" s="129"/>
    </row>
    <row r="511" spans="1:14" ht="14.25">
      <c r="A511" t="s">
        <v>575</v>
      </c>
      <c r="B511" s="196">
        <v>4</v>
      </c>
      <c r="C511" s="196">
        <v>2</v>
      </c>
      <c r="D511" s="16">
        <v>1</v>
      </c>
      <c r="E511" s="206">
        <v>1500</v>
      </c>
      <c r="F511" s="406" t="s">
        <v>252</v>
      </c>
      <c r="G511" s="95" t="s">
        <v>234</v>
      </c>
      <c r="H511" s="16">
        <v>40</v>
      </c>
      <c r="I511" s="116">
        <v>1500</v>
      </c>
      <c r="J511" s="17"/>
      <c r="K511" s="17"/>
      <c r="L511" s="419">
        <f t="shared" si="25"/>
        <v>60000</v>
      </c>
      <c r="M511" s="17"/>
      <c r="N511" s="129"/>
    </row>
    <row r="512" spans="1:14" ht="14.25">
      <c r="A512" t="s">
        <v>575</v>
      </c>
      <c r="B512" s="196">
        <v>4</v>
      </c>
      <c r="C512" s="196">
        <v>2</v>
      </c>
      <c r="D512" s="118">
        <v>40</v>
      </c>
      <c r="E512" s="197">
        <v>60000</v>
      </c>
      <c r="F512" s="86" t="s">
        <v>243</v>
      </c>
      <c r="G512" s="95" t="s">
        <v>234</v>
      </c>
      <c r="H512" s="16">
        <v>39</v>
      </c>
      <c r="I512" s="116">
        <v>1300</v>
      </c>
      <c r="J512" s="17"/>
      <c r="K512" s="17"/>
      <c r="L512" s="419">
        <f t="shared" si="25"/>
        <v>50700</v>
      </c>
      <c r="M512" s="17"/>
      <c r="N512" s="129"/>
    </row>
    <row r="513" spans="1:14" ht="14.25">
      <c r="A513" t="s">
        <v>575</v>
      </c>
      <c r="B513" s="196">
        <v>4</v>
      </c>
      <c r="C513" s="196">
        <v>2</v>
      </c>
      <c r="D513" s="118">
        <v>39</v>
      </c>
      <c r="E513" s="197">
        <v>50700</v>
      </c>
      <c r="F513" s="86" t="s">
        <v>243</v>
      </c>
      <c r="G513" s="95" t="s">
        <v>234</v>
      </c>
      <c r="H513" s="16">
        <v>40</v>
      </c>
      <c r="I513" s="116">
        <v>1300</v>
      </c>
      <c r="J513" s="17"/>
      <c r="K513" s="17"/>
      <c r="L513" s="419">
        <f t="shared" si="25"/>
        <v>52000</v>
      </c>
      <c r="M513" s="17"/>
      <c r="N513" s="129"/>
    </row>
    <row r="514" spans="1:14" ht="14.25">
      <c r="A514" t="s">
        <v>576</v>
      </c>
      <c r="B514" s="196">
        <v>4</v>
      </c>
      <c r="C514" s="196">
        <v>2</v>
      </c>
      <c r="D514" s="118">
        <v>40</v>
      </c>
      <c r="E514" s="197">
        <v>52000</v>
      </c>
      <c r="F514" s="86" t="s">
        <v>253</v>
      </c>
      <c r="G514" s="95" t="s">
        <v>234</v>
      </c>
      <c r="H514" s="16">
        <v>1</v>
      </c>
      <c r="I514" s="116">
        <v>1300</v>
      </c>
      <c r="J514" s="17"/>
      <c r="K514" s="17"/>
      <c r="L514" s="419">
        <f t="shared" si="25"/>
        <v>1300</v>
      </c>
      <c r="M514" s="17"/>
      <c r="N514" s="129"/>
    </row>
    <row r="515" spans="1:14" ht="15">
      <c r="A515" t="s">
        <v>577</v>
      </c>
      <c r="B515" s="196">
        <v>4</v>
      </c>
      <c r="C515" s="196">
        <v>2</v>
      </c>
      <c r="D515" s="118">
        <v>1</v>
      </c>
      <c r="E515" s="212">
        <v>1300</v>
      </c>
      <c r="F515" s="94" t="s">
        <v>259</v>
      </c>
      <c r="G515" s="87" t="s">
        <v>234</v>
      </c>
      <c r="H515" s="16">
        <v>25</v>
      </c>
      <c r="I515" s="547">
        <v>6325</v>
      </c>
      <c r="J515" s="17"/>
      <c r="K515" s="17"/>
      <c r="L515" s="419">
        <f t="shared" si="25"/>
        <v>158125</v>
      </c>
      <c r="M515" s="17"/>
      <c r="N515" s="129"/>
    </row>
    <row r="516" spans="1:14" ht="15">
      <c r="A516" t="s">
        <v>1621</v>
      </c>
      <c r="B516" s="196">
        <v>4</v>
      </c>
      <c r="C516" s="196">
        <v>2</v>
      </c>
      <c r="D516" s="118">
        <v>1</v>
      </c>
      <c r="E516" s="212">
        <v>1320</v>
      </c>
      <c r="F516" s="564" t="s">
        <v>324</v>
      </c>
      <c r="G516" s="95" t="s">
        <v>1577</v>
      </c>
      <c r="H516" s="16">
        <v>6</v>
      </c>
      <c r="I516" s="547">
        <v>18690</v>
      </c>
      <c r="J516" s="17"/>
      <c r="K516" s="17"/>
      <c r="L516" s="419">
        <f t="shared" si="25"/>
        <v>112140</v>
      </c>
      <c r="M516" s="17"/>
      <c r="N516" s="129"/>
    </row>
    <row r="517" spans="1:14" ht="14.25">
      <c r="A517" t="s">
        <v>1622</v>
      </c>
      <c r="B517" s="196">
        <v>4</v>
      </c>
      <c r="C517" s="196">
        <v>2</v>
      </c>
      <c r="D517" s="118">
        <v>2</v>
      </c>
      <c r="E517" s="212">
        <v>19600</v>
      </c>
      <c r="F517" s="568" t="s">
        <v>325</v>
      </c>
      <c r="G517" s="15" t="s">
        <v>649</v>
      </c>
      <c r="H517" s="16">
        <v>6</v>
      </c>
      <c r="I517" s="548">
        <v>16980</v>
      </c>
      <c r="J517" s="17"/>
      <c r="K517" s="17"/>
      <c r="L517" s="419">
        <f t="shared" si="25"/>
        <v>101880</v>
      </c>
      <c r="M517" s="17"/>
      <c r="N517" s="129"/>
    </row>
    <row r="518" spans="1:14" ht="15">
      <c r="A518" t="s">
        <v>25</v>
      </c>
      <c r="B518" s="196"/>
      <c r="C518" s="196"/>
      <c r="D518" s="118"/>
      <c r="E518" s="212"/>
      <c r="F518" s="568" t="s">
        <v>326</v>
      </c>
      <c r="G518" s="15" t="s">
        <v>649</v>
      </c>
      <c r="H518" s="284">
        <v>2</v>
      </c>
      <c r="I518" s="281">
        <v>49880</v>
      </c>
      <c r="J518" s="17"/>
      <c r="K518" s="17"/>
      <c r="L518" s="419">
        <f t="shared" si="25"/>
        <v>99760</v>
      </c>
      <c r="M518" s="17"/>
      <c r="N518" s="129"/>
    </row>
    <row r="519" spans="1:14" ht="15">
      <c r="A519" t="s">
        <v>25</v>
      </c>
      <c r="B519" s="196">
        <v>4</v>
      </c>
      <c r="C519" s="196">
        <v>2</v>
      </c>
      <c r="D519" s="118">
        <v>8</v>
      </c>
      <c r="E519" s="212">
        <v>28000</v>
      </c>
      <c r="F519" s="94" t="s">
        <v>1521</v>
      </c>
      <c r="G519" s="92"/>
      <c r="H519" s="16">
        <v>1</v>
      </c>
      <c r="I519" s="281">
        <v>1350</v>
      </c>
      <c r="J519" s="17"/>
      <c r="K519" s="17"/>
      <c r="L519" s="419">
        <f t="shared" si="25"/>
        <v>1350</v>
      </c>
      <c r="M519" s="17"/>
      <c r="N519" s="129"/>
    </row>
    <row r="520" spans="1:14" ht="15">
      <c r="A520" t="s">
        <v>25</v>
      </c>
      <c r="B520" s="196">
        <v>4</v>
      </c>
      <c r="C520" s="196">
        <v>2</v>
      </c>
      <c r="D520" s="118">
        <v>2</v>
      </c>
      <c r="E520" s="212">
        <v>99760</v>
      </c>
      <c r="F520" s="94" t="s">
        <v>198</v>
      </c>
      <c r="G520" s="92"/>
      <c r="H520" s="16">
        <v>1</v>
      </c>
      <c r="I520" s="281">
        <v>10400</v>
      </c>
      <c r="J520" s="17"/>
      <c r="K520" s="17"/>
      <c r="L520" s="419">
        <f t="shared" si="25"/>
        <v>10400</v>
      </c>
      <c r="M520" s="17"/>
      <c r="N520" s="129"/>
    </row>
    <row r="521" spans="1:14" ht="15">
      <c r="A521" t="s">
        <v>26</v>
      </c>
      <c r="B521" s="196">
        <v>4</v>
      </c>
      <c r="C521" s="196">
        <v>2</v>
      </c>
      <c r="D521" s="118">
        <v>1</v>
      </c>
      <c r="E521" s="212">
        <v>1350</v>
      </c>
      <c r="F521" s="406" t="s">
        <v>306</v>
      </c>
      <c r="G521" s="87" t="s">
        <v>1610</v>
      </c>
      <c r="H521" s="16">
        <v>10</v>
      </c>
      <c r="I521" s="550">
        <v>28900</v>
      </c>
      <c r="J521" s="17"/>
      <c r="K521" s="17"/>
      <c r="L521" s="419">
        <f t="shared" si="25"/>
        <v>289000</v>
      </c>
      <c r="M521" s="17"/>
      <c r="N521" s="129"/>
    </row>
    <row r="522" spans="1:14" ht="15">
      <c r="A522" t="s">
        <v>902</v>
      </c>
      <c r="B522" s="196">
        <v>4</v>
      </c>
      <c r="C522" s="196">
        <v>2</v>
      </c>
      <c r="D522" s="118">
        <v>1</v>
      </c>
      <c r="E522" s="197">
        <v>10400</v>
      </c>
      <c r="F522" s="564" t="s">
        <v>935</v>
      </c>
      <c r="G522" s="95" t="s">
        <v>1545</v>
      </c>
      <c r="H522" s="16">
        <v>10</v>
      </c>
      <c r="I522" s="547">
        <v>12150</v>
      </c>
      <c r="J522" s="17"/>
      <c r="K522" s="17"/>
      <c r="L522" s="419">
        <f t="shared" si="25"/>
        <v>121500</v>
      </c>
      <c r="M522" s="17"/>
      <c r="N522" s="129"/>
    </row>
    <row r="523" spans="1:14" ht="14.25">
      <c r="A523" t="s">
        <v>27</v>
      </c>
      <c r="B523" s="196">
        <v>4</v>
      </c>
      <c r="C523" s="196">
        <v>2</v>
      </c>
      <c r="D523" s="118">
        <v>1</v>
      </c>
      <c r="E523" s="212">
        <v>1350</v>
      </c>
      <c r="F523" s="564" t="s">
        <v>936</v>
      </c>
      <c r="G523" s="87" t="s">
        <v>1610</v>
      </c>
      <c r="H523" s="16">
        <v>10</v>
      </c>
      <c r="I523" s="549">
        <v>13980</v>
      </c>
      <c r="J523" s="17"/>
      <c r="K523" s="17"/>
      <c r="L523" s="419">
        <f t="shared" si="25"/>
        <v>139800</v>
      </c>
      <c r="M523" s="17"/>
      <c r="N523" s="129"/>
    </row>
    <row r="524" spans="1:14" ht="14.25">
      <c r="A524" t="s">
        <v>903</v>
      </c>
      <c r="B524" s="196">
        <v>4</v>
      </c>
      <c r="C524" s="196">
        <v>2</v>
      </c>
      <c r="D524" s="118">
        <v>22</v>
      </c>
      <c r="E524" s="212">
        <v>715000</v>
      </c>
      <c r="F524" s="568" t="s">
        <v>937</v>
      </c>
      <c r="G524" s="87" t="s">
        <v>1610</v>
      </c>
      <c r="H524" s="16">
        <v>10</v>
      </c>
      <c r="I524" s="17">
        <v>17103</v>
      </c>
      <c r="J524" s="17"/>
      <c r="K524" s="17"/>
      <c r="L524" s="419">
        <f t="shared" si="25"/>
        <v>171030</v>
      </c>
      <c r="M524" s="17"/>
      <c r="N524" s="129"/>
    </row>
    <row r="525" spans="1:14" ht="15">
      <c r="A525" t="s">
        <v>32</v>
      </c>
      <c r="B525" s="196">
        <v>4</v>
      </c>
      <c r="C525" s="196">
        <v>2</v>
      </c>
      <c r="D525" s="118">
        <v>1</v>
      </c>
      <c r="E525" s="212">
        <v>1350</v>
      </c>
      <c r="F525" s="568" t="s">
        <v>938</v>
      </c>
      <c r="G525" s="15" t="s">
        <v>721</v>
      </c>
      <c r="H525" s="16">
        <v>10</v>
      </c>
      <c r="I525" s="277">
        <v>17881.371428571427</v>
      </c>
      <c r="J525" s="17"/>
      <c r="K525" s="17"/>
      <c r="L525" s="419">
        <f t="shared" si="25"/>
        <v>178813.71428571426</v>
      </c>
      <c r="M525" s="17"/>
      <c r="N525" s="129"/>
    </row>
    <row r="526" spans="1:14" ht="14.25">
      <c r="A526" t="s">
        <v>1623</v>
      </c>
      <c r="B526" s="196">
        <v>4</v>
      </c>
      <c r="C526" s="196">
        <v>2</v>
      </c>
      <c r="D526" s="213">
        <v>1</v>
      </c>
      <c r="E526" s="154">
        <v>30230.9</v>
      </c>
      <c r="F526" s="94" t="s">
        <v>260</v>
      </c>
      <c r="G526" s="15" t="s">
        <v>721</v>
      </c>
      <c r="H526" s="16">
        <v>1</v>
      </c>
      <c r="I526" s="116">
        <v>18000</v>
      </c>
      <c r="J526" s="17"/>
      <c r="K526" s="17"/>
      <c r="L526" s="419">
        <f t="shared" si="25"/>
        <v>18000</v>
      </c>
      <c r="M526" s="17"/>
      <c r="N526" s="129"/>
    </row>
    <row r="527" spans="1:14" ht="14.25">
      <c r="A527" t="s">
        <v>33</v>
      </c>
      <c r="B527" s="196">
        <v>4</v>
      </c>
      <c r="C527" s="196">
        <v>2</v>
      </c>
      <c r="D527" s="118">
        <v>10</v>
      </c>
      <c r="E527" s="197">
        <v>178813.71428571426</v>
      </c>
      <c r="F527" s="94" t="s">
        <v>261</v>
      </c>
      <c r="G527" s="95" t="s">
        <v>1577</v>
      </c>
      <c r="H527" s="16">
        <v>1</v>
      </c>
      <c r="I527" s="116">
        <v>14500</v>
      </c>
      <c r="J527" s="17"/>
      <c r="K527" s="17"/>
      <c r="L527" s="419">
        <f t="shared" si="25"/>
        <v>14500</v>
      </c>
      <c r="M527" s="17"/>
      <c r="N527" s="419">
        <v>198685178430</v>
      </c>
    </row>
    <row r="528" spans="1:15" ht="14.25">
      <c r="A528" t="s">
        <v>33</v>
      </c>
      <c r="B528" s="196">
        <v>4</v>
      </c>
      <c r="C528" s="196">
        <v>2</v>
      </c>
      <c r="D528" s="16">
        <v>1</v>
      </c>
      <c r="E528" s="212">
        <v>18000</v>
      </c>
      <c r="F528" s="94" t="s">
        <v>262</v>
      </c>
      <c r="G528" s="95" t="s">
        <v>1577</v>
      </c>
      <c r="H528" s="16">
        <v>1</v>
      </c>
      <c r="I528" s="116">
        <v>16000</v>
      </c>
      <c r="J528" s="17"/>
      <c r="K528" s="17"/>
      <c r="L528" s="419">
        <f t="shared" si="25"/>
        <v>16000</v>
      </c>
      <c r="M528" s="17"/>
      <c r="N528" s="129">
        <v>27000000000</v>
      </c>
      <c r="O528">
        <v>100</v>
      </c>
    </row>
    <row r="529" spans="1:17" ht="14.25">
      <c r="A529" t="s">
        <v>33</v>
      </c>
      <c r="B529" s="196">
        <v>4</v>
      </c>
      <c r="C529" s="196">
        <v>2</v>
      </c>
      <c r="D529" s="16">
        <v>1</v>
      </c>
      <c r="E529" s="212">
        <v>14500</v>
      </c>
      <c r="F529" s="94" t="s">
        <v>200</v>
      </c>
      <c r="G529" s="95" t="s">
        <v>1577</v>
      </c>
      <c r="H529" s="16">
        <v>1</v>
      </c>
      <c r="I529" s="116">
        <v>1390</v>
      </c>
      <c r="J529" s="17"/>
      <c r="K529" s="17"/>
      <c r="L529" s="419">
        <f t="shared" si="25"/>
        <v>1390</v>
      </c>
      <c r="M529" s="17"/>
      <c r="N529" s="129"/>
      <c r="O529" t="s">
        <v>110</v>
      </c>
      <c r="Q529">
        <f>N528*O528</f>
        <v>2700000000000</v>
      </c>
    </row>
    <row r="530" spans="1:18" ht="14.25">
      <c r="A530" t="s">
        <v>34</v>
      </c>
      <c r="B530" s="196">
        <v>4</v>
      </c>
      <c r="C530" s="196">
        <v>2</v>
      </c>
      <c r="D530" s="16">
        <v>1</v>
      </c>
      <c r="E530" s="212">
        <v>1508</v>
      </c>
      <c r="F530" s="596" t="s">
        <v>1575</v>
      </c>
      <c r="G530" s="95"/>
      <c r="H530" s="16">
        <v>1</v>
      </c>
      <c r="I530" s="116">
        <v>4876.64</v>
      </c>
      <c r="J530" s="17"/>
      <c r="K530" s="17"/>
      <c r="L530" s="419">
        <f t="shared" si="25"/>
        <v>4876.64</v>
      </c>
      <c r="M530" s="17"/>
      <c r="N530" s="129"/>
      <c r="Q530" s="527">
        <f>N527</f>
        <v>198685178430</v>
      </c>
      <c r="R530">
        <f>Q529/Q530</f>
        <v>13.589337772124022</v>
      </c>
    </row>
    <row r="531" spans="1:14" ht="14.25">
      <c r="A531" t="s">
        <v>34</v>
      </c>
      <c r="B531" s="196">
        <v>4</v>
      </c>
      <c r="C531" s="196">
        <v>2</v>
      </c>
      <c r="D531" s="16">
        <v>5</v>
      </c>
      <c r="E531" s="212">
        <v>2610</v>
      </c>
      <c r="F531" s="94" t="s">
        <v>421</v>
      </c>
      <c r="G531" s="95" t="s">
        <v>1610</v>
      </c>
      <c r="H531" s="16">
        <v>1</v>
      </c>
      <c r="I531" s="116">
        <v>16588</v>
      </c>
      <c r="J531" s="17"/>
      <c r="K531" s="17"/>
      <c r="L531" s="419">
        <f t="shared" si="25"/>
        <v>16588</v>
      </c>
      <c r="M531" s="17"/>
      <c r="N531" s="129"/>
    </row>
    <row r="532" spans="1:14" ht="14.25">
      <c r="A532" t="s">
        <v>34</v>
      </c>
      <c r="B532" s="196">
        <v>4</v>
      </c>
      <c r="C532" s="196">
        <v>2</v>
      </c>
      <c r="D532" s="16">
        <v>1</v>
      </c>
      <c r="E532" s="212">
        <v>1300</v>
      </c>
      <c r="F532" s="94" t="s">
        <v>1574</v>
      </c>
      <c r="G532" s="95" t="s">
        <v>1610</v>
      </c>
      <c r="H532" s="16">
        <v>1</v>
      </c>
      <c r="I532" s="116">
        <v>1508</v>
      </c>
      <c r="J532" s="17"/>
      <c r="K532" s="17"/>
      <c r="L532" s="419">
        <f t="shared" si="25"/>
        <v>1508</v>
      </c>
      <c r="M532" s="17"/>
      <c r="N532" s="129"/>
    </row>
    <row r="533" spans="1:14" ht="14.25">
      <c r="A533" t="s">
        <v>34</v>
      </c>
      <c r="B533" s="196">
        <v>4</v>
      </c>
      <c r="C533" s="196">
        <v>2</v>
      </c>
      <c r="D533" s="16">
        <v>1</v>
      </c>
      <c r="E533" s="212">
        <v>1390</v>
      </c>
      <c r="F533" s="86" t="s">
        <v>1573</v>
      </c>
      <c r="G533" s="95"/>
      <c r="H533" s="16">
        <f>1+1</f>
        <v>2</v>
      </c>
      <c r="I533" s="116">
        <v>17462.64</v>
      </c>
      <c r="J533" s="17"/>
      <c r="K533" s="17"/>
      <c r="L533" s="419">
        <f t="shared" si="25"/>
        <v>34925.28</v>
      </c>
      <c r="M533" s="17"/>
      <c r="N533" s="129"/>
    </row>
    <row r="534" spans="1:14" ht="14.25">
      <c r="A534" t="s">
        <v>34</v>
      </c>
      <c r="B534" s="196">
        <v>4</v>
      </c>
      <c r="C534" s="196">
        <v>2</v>
      </c>
      <c r="D534" s="16">
        <v>10</v>
      </c>
      <c r="E534" s="212">
        <v>19140</v>
      </c>
      <c r="F534" s="94" t="s">
        <v>199</v>
      </c>
      <c r="G534" s="95" t="s">
        <v>1610</v>
      </c>
      <c r="H534" s="16">
        <v>1</v>
      </c>
      <c r="I534" s="116">
        <v>1300</v>
      </c>
      <c r="J534" s="17"/>
      <c r="K534" s="17"/>
      <c r="L534" s="419">
        <f t="shared" si="25"/>
        <v>1300</v>
      </c>
      <c r="M534" s="17"/>
      <c r="N534" s="129"/>
    </row>
    <row r="535" spans="1:14" ht="14.25">
      <c r="A535" t="s">
        <v>34</v>
      </c>
      <c r="B535" s="196">
        <v>4</v>
      </c>
      <c r="C535" s="196">
        <v>2</v>
      </c>
      <c r="D535" s="16">
        <v>2</v>
      </c>
      <c r="E535" s="212">
        <v>34925.28</v>
      </c>
      <c r="F535" s="94" t="s">
        <v>203</v>
      </c>
      <c r="G535" s="95" t="s">
        <v>1610</v>
      </c>
      <c r="H535" s="16">
        <v>5</v>
      </c>
      <c r="I535" s="116">
        <v>522</v>
      </c>
      <c r="J535" s="17"/>
      <c r="K535" s="17"/>
      <c r="L535" s="419">
        <f t="shared" si="25"/>
        <v>2610</v>
      </c>
      <c r="M535" s="17"/>
      <c r="N535" s="129"/>
    </row>
    <row r="536" spans="1:14" ht="14.25">
      <c r="A536" t="s">
        <v>34</v>
      </c>
      <c r="B536" s="196">
        <v>4</v>
      </c>
      <c r="C536" s="196">
        <v>2</v>
      </c>
      <c r="D536" s="16">
        <v>1</v>
      </c>
      <c r="E536" s="212">
        <v>16588</v>
      </c>
      <c r="F536" s="94" t="s">
        <v>204</v>
      </c>
      <c r="G536" s="95" t="s">
        <v>1610</v>
      </c>
      <c r="H536" s="16">
        <v>1</v>
      </c>
      <c r="I536" s="116">
        <v>19000</v>
      </c>
      <c r="J536" s="17"/>
      <c r="K536" s="17"/>
      <c r="L536" s="419">
        <f t="shared" si="25"/>
        <v>19000</v>
      </c>
      <c r="M536" s="17"/>
      <c r="N536" s="129"/>
    </row>
    <row r="537" spans="1:14" ht="14.25">
      <c r="A537" t="s">
        <v>34</v>
      </c>
      <c r="B537" s="196">
        <v>4</v>
      </c>
      <c r="C537" s="196">
        <v>2</v>
      </c>
      <c r="D537" s="16">
        <v>1</v>
      </c>
      <c r="E537" s="212">
        <v>4876.64</v>
      </c>
      <c r="F537" s="14" t="s">
        <v>988</v>
      </c>
      <c r="G537" s="95" t="s">
        <v>1610</v>
      </c>
      <c r="H537" s="16">
        <v>1</v>
      </c>
      <c r="I537" s="17">
        <v>1978</v>
      </c>
      <c r="J537" s="17"/>
      <c r="K537" s="17"/>
      <c r="L537" s="419">
        <f t="shared" si="25"/>
        <v>1978</v>
      </c>
      <c r="M537" s="17"/>
      <c r="N537" s="129"/>
    </row>
    <row r="538" spans="1:14" ht="14.25">
      <c r="A538" t="s">
        <v>34</v>
      </c>
      <c r="B538" s="196">
        <v>4</v>
      </c>
      <c r="C538" s="196">
        <v>2</v>
      </c>
      <c r="D538" s="16">
        <v>1</v>
      </c>
      <c r="E538" s="212">
        <v>16000</v>
      </c>
      <c r="F538" s="597" t="s">
        <v>415</v>
      </c>
      <c r="G538" s="95" t="s">
        <v>1610</v>
      </c>
      <c r="H538" s="16">
        <v>10</v>
      </c>
      <c r="I538" s="114">
        <v>1914</v>
      </c>
      <c r="J538" s="17"/>
      <c r="K538" s="17"/>
      <c r="L538" s="419">
        <f t="shared" si="25"/>
        <v>19140</v>
      </c>
      <c r="M538" s="17"/>
      <c r="N538" s="129"/>
    </row>
    <row r="539" spans="1:14" ht="14.25">
      <c r="A539" t="s">
        <v>34</v>
      </c>
      <c r="B539" s="196">
        <v>4</v>
      </c>
      <c r="C539" s="196">
        <v>2</v>
      </c>
      <c r="D539" s="16">
        <v>1</v>
      </c>
      <c r="E539" s="214">
        <v>19000</v>
      </c>
      <c r="F539" s="14" t="s">
        <v>218</v>
      </c>
      <c r="G539" s="15" t="s">
        <v>649</v>
      </c>
      <c r="H539" s="16">
        <v>1</v>
      </c>
      <c r="I539" s="17">
        <v>672</v>
      </c>
      <c r="J539" s="17"/>
      <c r="K539" s="17"/>
      <c r="L539" s="419">
        <f t="shared" si="25"/>
        <v>672</v>
      </c>
      <c r="M539" s="17"/>
      <c r="N539" s="129"/>
    </row>
    <row r="540" spans="1:14" ht="14.25">
      <c r="A540" t="s">
        <v>36</v>
      </c>
      <c r="B540" s="196">
        <v>4</v>
      </c>
      <c r="C540" s="196">
        <v>2</v>
      </c>
      <c r="D540" s="118">
        <v>1</v>
      </c>
      <c r="E540" s="215">
        <v>1978</v>
      </c>
      <c r="F540" s="94" t="s">
        <v>215</v>
      </c>
      <c r="G540" s="15" t="s">
        <v>649</v>
      </c>
      <c r="H540" s="16">
        <v>1</v>
      </c>
      <c r="I540" s="17">
        <v>440</v>
      </c>
      <c r="J540" s="17"/>
      <c r="K540" s="17"/>
      <c r="L540" s="419">
        <f t="shared" si="25"/>
        <v>440</v>
      </c>
      <c r="M540" s="17"/>
      <c r="N540" s="129"/>
    </row>
    <row r="541" spans="1:14" ht="14.25">
      <c r="A541" t="s">
        <v>36</v>
      </c>
      <c r="B541" s="196">
        <v>4</v>
      </c>
      <c r="C541" s="196">
        <v>2</v>
      </c>
      <c r="D541" s="118">
        <v>1</v>
      </c>
      <c r="E541" s="215">
        <v>672</v>
      </c>
      <c r="F541" s="94" t="s">
        <v>216</v>
      </c>
      <c r="G541" s="95" t="s">
        <v>1610</v>
      </c>
      <c r="H541" s="16">
        <v>1</v>
      </c>
      <c r="I541" s="17">
        <v>600</v>
      </c>
      <c r="J541" s="17"/>
      <c r="K541" s="17"/>
      <c r="L541" s="419">
        <f t="shared" si="25"/>
        <v>600</v>
      </c>
      <c r="M541" s="17"/>
      <c r="N541" s="129"/>
    </row>
    <row r="542" spans="1:14" ht="14.25">
      <c r="A542" t="s">
        <v>36</v>
      </c>
      <c r="B542" s="196">
        <v>4</v>
      </c>
      <c r="C542" s="196">
        <v>2</v>
      </c>
      <c r="D542" s="16">
        <v>1</v>
      </c>
      <c r="E542" s="215">
        <v>440</v>
      </c>
      <c r="F542" s="94" t="s">
        <v>217</v>
      </c>
      <c r="G542" s="95" t="s">
        <v>1610</v>
      </c>
      <c r="H542" s="16">
        <v>1</v>
      </c>
      <c r="I542" s="17">
        <v>3500</v>
      </c>
      <c r="J542" s="17"/>
      <c r="K542" s="17"/>
      <c r="L542" s="419">
        <f t="shared" si="25"/>
        <v>3500</v>
      </c>
      <c r="M542" s="17"/>
      <c r="N542" s="129"/>
    </row>
    <row r="543" spans="1:14" ht="14.25">
      <c r="A543" t="s">
        <v>1470</v>
      </c>
      <c r="B543" s="196">
        <v>4</v>
      </c>
      <c r="C543" s="196">
        <v>2</v>
      </c>
      <c r="D543" s="16">
        <v>1</v>
      </c>
      <c r="E543" s="215">
        <v>3500</v>
      </c>
      <c r="F543" s="406" t="s">
        <v>1572</v>
      </c>
      <c r="G543" s="15"/>
      <c r="H543" s="16">
        <v>3</v>
      </c>
      <c r="I543" s="206">
        <v>1218</v>
      </c>
      <c r="J543" s="17"/>
      <c r="K543" s="17"/>
      <c r="L543" s="419">
        <f t="shared" si="25"/>
        <v>3654</v>
      </c>
      <c r="M543" s="17"/>
      <c r="N543" s="129"/>
    </row>
    <row r="544" spans="1:14" ht="14.25">
      <c r="A544" t="s">
        <v>36</v>
      </c>
      <c r="B544" s="196">
        <v>4</v>
      </c>
      <c r="C544" s="196">
        <v>2</v>
      </c>
      <c r="D544" s="16">
        <v>1</v>
      </c>
      <c r="E544" s="215">
        <v>600</v>
      </c>
      <c r="F544" s="567" t="s">
        <v>1512</v>
      </c>
      <c r="G544" s="95" t="s">
        <v>1610</v>
      </c>
      <c r="H544" s="16">
        <v>0</v>
      </c>
      <c r="I544" s="143"/>
      <c r="J544" s="17"/>
      <c r="K544" s="17"/>
      <c r="L544" s="419"/>
      <c r="M544" s="17"/>
      <c r="N544" s="129"/>
    </row>
    <row r="545" spans="1:14" ht="14.25">
      <c r="A545" t="s">
        <v>904</v>
      </c>
      <c r="B545" s="196">
        <v>4</v>
      </c>
      <c r="C545" s="196">
        <v>2</v>
      </c>
      <c r="D545" s="213">
        <v>0</v>
      </c>
      <c r="E545" s="154"/>
      <c r="F545" s="86" t="s">
        <v>1504</v>
      </c>
      <c r="G545" s="15"/>
      <c r="H545" s="16">
        <v>1</v>
      </c>
      <c r="I545" s="114">
        <v>1650</v>
      </c>
      <c r="J545" s="17"/>
      <c r="K545" s="17"/>
      <c r="L545" s="419">
        <f aca="true" t="shared" si="26" ref="L545:L576">(H545*I545)</f>
        <v>1650</v>
      </c>
      <c r="M545" s="17"/>
      <c r="N545" s="129"/>
    </row>
    <row r="546" spans="1:14" ht="14.25">
      <c r="A546" t="s">
        <v>37</v>
      </c>
      <c r="B546" s="196">
        <v>4</v>
      </c>
      <c r="C546" s="196">
        <v>2</v>
      </c>
      <c r="D546" s="213">
        <v>3</v>
      </c>
      <c r="E546" s="154">
        <v>3654</v>
      </c>
      <c r="F546" s="94" t="s">
        <v>1509</v>
      </c>
      <c r="G546" s="15"/>
      <c r="H546" s="16">
        <v>1</v>
      </c>
      <c r="I546" s="114">
        <v>1650</v>
      </c>
      <c r="J546" s="17"/>
      <c r="K546" s="17"/>
      <c r="L546" s="419">
        <f t="shared" si="26"/>
        <v>1650</v>
      </c>
      <c r="M546" s="17"/>
      <c r="N546" s="129"/>
    </row>
    <row r="547" spans="1:14" ht="14.25">
      <c r="A547" t="s">
        <v>37</v>
      </c>
      <c r="B547" s="196">
        <v>4</v>
      </c>
      <c r="C547" s="196">
        <v>2</v>
      </c>
      <c r="D547" s="16">
        <v>1</v>
      </c>
      <c r="E547" s="216">
        <v>1650</v>
      </c>
      <c r="F547" s="86" t="s">
        <v>1510</v>
      </c>
      <c r="G547" s="15"/>
      <c r="H547" s="16">
        <v>1</v>
      </c>
      <c r="I547" s="149">
        <v>1680</v>
      </c>
      <c r="J547" s="17"/>
      <c r="K547" s="17"/>
      <c r="L547" s="419">
        <f t="shared" si="26"/>
        <v>1680</v>
      </c>
      <c r="M547" s="17"/>
      <c r="N547" s="129"/>
    </row>
    <row r="548" spans="1:14" ht="14.25">
      <c r="A548" t="s">
        <v>37</v>
      </c>
      <c r="B548" s="196">
        <v>4</v>
      </c>
      <c r="C548" s="196">
        <v>2</v>
      </c>
      <c r="D548" s="16">
        <v>1</v>
      </c>
      <c r="E548" s="216">
        <v>1650</v>
      </c>
      <c r="F548" s="94" t="s">
        <v>1511</v>
      </c>
      <c r="G548" s="15"/>
      <c r="H548" s="16">
        <v>1</v>
      </c>
      <c r="I548" s="149">
        <v>1590</v>
      </c>
      <c r="J548" s="17"/>
      <c r="K548" s="17"/>
      <c r="L548" s="419">
        <f t="shared" si="26"/>
        <v>1590</v>
      </c>
      <c r="M548" s="17"/>
      <c r="N548" s="129"/>
    </row>
    <row r="549" spans="1:14" ht="14.25">
      <c r="A549" t="s">
        <v>37</v>
      </c>
      <c r="B549" s="196">
        <v>4</v>
      </c>
      <c r="C549" s="196">
        <v>2</v>
      </c>
      <c r="D549" s="16">
        <v>1</v>
      </c>
      <c r="E549" s="216">
        <v>1680</v>
      </c>
      <c r="F549" s="94" t="s">
        <v>1505</v>
      </c>
      <c r="G549" s="15"/>
      <c r="H549" s="16">
        <v>1</v>
      </c>
      <c r="I549" s="114">
        <v>1650</v>
      </c>
      <c r="J549" s="17"/>
      <c r="K549" s="17"/>
      <c r="L549" s="419">
        <f t="shared" si="26"/>
        <v>1650</v>
      </c>
      <c r="M549" s="17"/>
      <c r="N549" s="129"/>
    </row>
    <row r="550" spans="1:14" ht="14.25">
      <c r="A550" t="s">
        <v>37</v>
      </c>
      <c r="B550" s="196">
        <v>4</v>
      </c>
      <c r="C550" s="196">
        <v>2</v>
      </c>
      <c r="D550" s="16">
        <v>1</v>
      </c>
      <c r="E550" s="216">
        <v>1590</v>
      </c>
      <c r="F550" s="86" t="s">
        <v>1503</v>
      </c>
      <c r="G550" s="15"/>
      <c r="H550" s="16">
        <v>1</v>
      </c>
      <c r="I550" s="114">
        <v>1900</v>
      </c>
      <c r="J550" s="17"/>
      <c r="K550" s="17"/>
      <c r="L550" s="419">
        <f t="shared" si="26"/>
        <v>1900</v>
      </c>
      <c r="M550" s="17"/>
      <c r="N550" s="129"/>
    </row>
    <row r="551" spans="1:14" ht="14.25">
      <c r="A551" t="s">
        <v>37</v>
      </c>
      <c r="B551" s="196">
        <v>4</v>
      </c>
      <c r="C551" s="196">
        <v>2</v>
      </c>
      <c r="D551" s="16">
        <v>1</v>
      </c>
      <c r="E551" s="216">
        <v>1650</v>
      </c>
      <c r="F551" s="94" t="s">
        <v>1502</v>
      </c>
      <c r="G551" s="92"/>
      <c r="H551" s="16">
        <v>1</v>
      </c>
      <c r="I551" s="114">
        <v>1950</v>
      </c>
      <c r="J551" s="17"/>
      <c r="K551" s="17"/>
      <c r="L551" s="419">
        <f t="shared" si="26"/>
        <v>1950</v>
      </c>
      <c r="M551" s="17"/>
      <c r="N551" s="129"/>
    </row>
    <row r="552" spans="1:14" ht="14.25">
      <c r="A552" t="s">
        <v>37</v>
      </c>
      <c r="B552" s="196">
        <v>4</v>
      </c>
      <c r="C552" s="196">
        <v>2</v>
      </c>
      <c r="D552" s="16">
        <v>1</v>
      </c>
      <c r="E552" s="216">
        <v>1900</v>
      </c>
      <c r="F552" s="94" t="s">
        <v>1506</v>
      </c>
      <c r="G552" s="92"/>
      <c r="H552" s="16">
        <v>1</v>
      </c>
      <c r="I552" s="149">
        <v>1960</v>
      </c>
      <c r="J552" s="17"/>
      <c r="K552" s="17"/>
      <c r="L552" s="419">
        <f t="shared" si="26"/>
        <v>1960</v>
      </c>
      <c r="M552" s="17"/>
      <c r="N552" s="129"/>
    </row>
    <row r="553" spans="1:14" ht="14.25">
      <c r="A553" t="s">
        <v>37</v>
      </c>
      <c r="B553" s="196">
        <v>4</v>
      </c>
      <c r="C553" s="196">
        <v>2</v>
      </c>
      <c r="D553" s="16">
        <v>1</v>
      </c>
      <c r="E553" s="216">
        <v>1950</v>
      </c>
      <c r="F553" s="94" t="s">
        <v>1507</v>
      </c>
      <c r="G553" s="92"/>
      <c r="H553" s="16">
        <v>1</v>
      </c>
      <c r="I553" s="149">
        <v>1920</v>
      </c>
      <c r="J553" s="17"/>
      <c r="K553" s="17"/>
      <c r="L553" s="419">
        <f t="shared" si="26"/>
        <v>1920</v>
      </c>
      <c r="M553" s="17"/>
      <c r="N553" s="129"/>
    </row>
    <row r="554" spans="1:14" ht="14.25">
      <c r="A554" t="s">
        <v>37</v>
      </c>
      <c r="B554" s="196">
        <v>4</v>
      </c>
      <c r="C554" s="196">
        <v>2</v>
      </c>
      <c r="D554" s="16">
        <v>1</v>
      </c>
      <c r="E554" s="216">
        <v>1960</v>
      </c>
      <c r="F554" s="94" t="s">
        <v>1508</v>
      </c>
      <c r="G554" s="92"/>
      <c r="H554" s="16">
        <v>1</v>
      </c>
      <c r="I554" s="149">
        <v>1620</v>
      </c>
      <c r="J554" s="17"/>
      <c r="K554" s="17"/>
      <c r="L554" s="419">
        <f t="shared" si="26"/>
        <v>1620</v>
      </c>
      <c r="M554" s="17"/>
      <c r="N554" s="129"/>
    </row>
    <row r="555" spans="1:14" ht="15">
      <c r="A555" t="s">
        <v>37</v>
      </c>
      <c r="B555" s="196">
        <v>4</v>
      </c>
      <c r="C555" s="196">
        <v>2</v>
      </c>
      <c r="D555" s="16">
        <v>1</v>
      </c>
      <c r="E555" s="216">
        <v>1920</v>
      </c>
      <c r="F555" s="94" t="s">
        <v>482</v>
      </c>
      <c r="G555" s="15"/>
      <c r="H555" s="16">
        <v>1</v>
      </c>
      <c r="I555" s="153">
        <v>6200</v>
      </c>
      <c r="J555" s="123"/>
      <c r="K555" s="123"/>
      <c r="L555" s="430">
        <f t="shared" si="26"/>
        <v>6200</v>
      </c>
      <c r="M555" s="17"/>
      <c r="N555" s="129"/>
    </row>
    <row r="556" spans="1:14" ht="15">
      <c r="A556" t="s">
        <v>38</v>
      </c>
      <c r="B556" s="196">
        <v>4</v>
      </c>
      <c r="C556" s="196">
        <v>2</v>
      </c>
      <c r="D556" s="16">
        <v>1</v>
      </c>
      <c r="E556" s="216">
        <v>1620</v>
      </c>
      <c r="F556" s="94" t="s">
        <v>481</v>
      </c>
      <c r="G556" s="87" t="s">
        <v>1610</v>
      </c>
      <c r="H556" s="16">
        <v>1</v>
      </c>
      <c r="I556" s="153">
        <v>6222</v>
      </c>
      <c r="J556" s="123"/>
      <c r="K556" s="123"/>
      <c r="L556" s="430">
        <f t="shared" si="26"/>
        <v>6222</v>
      </c>
      <c r="M556" s="17"/>
      <c r="N556" s="129"/>
    </row>
    <row r="557" spans="1:14" ht="15">
      <c r="A557" t="s">
        <v>38</v>
      </c>
      <c r="B557" s="196">
        <v>4</v>
      </c>
      <c r="C557" s="196">
        <v>2</v>
      </c>
      <c r="D557" s="16">
        <v>1</v>
      </c>
      <c r="E557" s="217">
        <v>6200</v>
      </c>
      <c r="F557" s="94" t="s">
        <v>483</v>
      </c>
      <c r="G557" s="95" t="s">
        <v>1610</v>
      </c>
      <c r="H557" s="16">
        <v>1</v>
      </c>
      <c r="I557" s="153">
        <v>6300</v>
      </c>
      <c r="J557" s="123"/>
      <c r="K557" s="123"/>
      <c r="L557" s="430">
        <f t="shared" si="26"/>
        <v>6300</v>
      </c>
      <c r="M557" s="124"/>
      <c r="N557" s="328"/>
    </row>
    <row r="558" spans="1:14" ht="15">
      <c r="A558" t="s">
        <v>905</v>
      </c>
      <c r="B558" s="196">
        <v>4</v>
      </c>
      <c r="C558" s="196">
        <v>2</v>
      </c>
      <c r="D558" s="16">
        <v>1</v>
      </c>
      <c r="E558" s="217">
        <v>6300</v>
      </c>
      <c r="F558" s="94" t="s">
        <v>1538</v>
      </c>
      <c r="G558" s="92"/>
      <c r="H558" s="16">
        <v>1</v>
      </c>
      <c r="I558" s="143">
        <v>44000</v>
      </c>
      <c r="J558" s="17"/>
      <c r="K558" s="17"/>
      <c r="L558" s="419">
        <f t="shared" si="26"/>
        <v>44000</v>
      </c>
      <c r="M558" s="124"/>
      <c r="N558" s="328"/>
    </row>
    <row r="559" spans="1:14" ht="15">
      <c r="A559" t="s">
        <v>39</v>
      </c>
      <c r="B559" s="196">
        <v>4</v>
      </c>
      <c r="C559" s="196">
        <v>2</v>
      </c>
      <c r="D559" s="16">
        <v>0</v>
      </c>
      <c r="E559" s="216">
        <v>0</v>
      </c>
      <c r="F559" s="94" t="s">
        <v>1537</v>
      </c>
      <c r="G559" s="92"/>
      <c r="H559" s="16">
        <v>1</v>
      </c>
      <c r="I559" s="143">
        <v>45000</v>
      </c>
      <c r="J559" s="17"/>
      <c r="K559" s="17"/>
      <c r="L559" s="419">
        <f t="shared" si="26"/>
        <v>45000</v>
      </c>
      <c r="M559" s="17"/>
      <c r="N559" s="328"/>
    </row>
    <row r="560" spans="1:14" ht="14.25">
      <c r="A560" t="s">
        <v>39</v>
      </c>
      <c r="B560" s="196">
        <v>4</v>
      </c>
      <c r="C560" s="196">
        <v>2</v>
      </c>
      <c r="D560" s="213">
        <v>1</v>
      </c>
      <c r="E560" s="154">
        <v>44000</v>
      </c>
      <c r="F560" s="94" t="s">
        <v>1542</v>
      </c>
      <c r="G560" s="92"/>
      <c r="H560" s="16">
        <v>1</v>
      </c>
      <c r="I560" s="143">
        <v>40000</v>
      </c>
      <c r="J560" s="17"/>
      <c r="K560" s="17"/>
      <c r="L560" s="419">
        <f t="shared" si="26"/>
        <v>40000</v>
      </c>
      <c r="M560" s="17"/>
      <c r="N560" s="129"/>
    </row>
    <row r="561" spans="1:14" ht="14.25">
      <c r="A561" t="s">
        <v>39</v>
      </c>
      <c r="B561" s="196">
        <v>4</v>
      </c>
      <c r="C561" s="196">
        <v>2</v>
      </c>
      <c r="D561" s="213">
        <v>1</v>
      </c>
      <c r="E561" s="154">
        <v>45000</v>
      </c>
      <c r="F561" s="94" t="s">
        <v>1539</v>
      </c>
      <c r="G561" s="95" t="s">
        <v>1543</v>
      </c>
      <c r="H561" s="16">
        <v>1</v>
      </c>
      <c r="I561" s="143">
        <v>48000</v>
      </c>
      <c r="J561" s="17"/>
      <c r="K561" s="17"/>
      <c r="L561" s="419">
        <f t="shared" si="26"/>
        <v>48000</v>
      </c>
      <c r="M561" s="17"/>
      <c r="N561" s="129"/>
    </row>
    <row r="562" spans="1:14" ht="14.25">
      <c r="A562" t="s">
        <v>39</v>
      </c>
      <c r="B562" s="196">
        <v>4</v>
      </c>
      <c r="C562" s="196">
        <v>2</v>
      </c>
      <c r="D562" s="213">
        <v>1</v>
      </c>
      <c r="E562" s="154">
        <v>40000</v>
      </c>
      <c r="F562" s="86" t="s">
        <v>1544</v>
      </c>
      <c r="G562" s="15"/>
      <c r="H562" s="16">
        <v>0</v>
      </c>
      <c r="I562" s="143">
        <v>49000</v>
      </c>
      <c r="J562" s="17"/>
      <c r="K562" s="17"/>
      <c r="L562" s="419">
        <f t="shared" si="26"/>
        <v>0</v>
      </c>
      <c r="M562" s="17"/>
      <c r="N562" s="129"/>
    </row>
    <row r="563" spans="1:14" ht="14.25">
      <c r="A563" t="s">
        <v>39</v>
      </c>
      <c r="B563" s="196">
        <v>4</v>
      </c>
      <c r="C563" s="196">
        <v>2</v>
      </c>
      <c r="D563" s="213">
        <v>1</v>
      </c>
      <c r="E563" s="154">
        <v>48000</v>
      </c>
      <c r="F563" s="94" t="s">
        <v>1546</v>
      </c>
      <c r="G563" s="87" t="s">
        <v>1545</v>
      </c>
      <c r="H563" s="16">
        <v>0</v>
      </c>
      <c r="I563" s="143">
        <v>51000</v>
      </c>
      <c r="J563" s="17"/>
      <c r="K563" s="17"/>
      <c r="L563" s="419">
        <f t="shared" si="26"/>
        <v>0</v>
      </c>
      <c r="M563" s="17"/>
      <c r="N563" s="129"/>
    </row>
    <row r="564" spans="1:14" ht="14.25">
      <c r="A564" t="s">
        <v>39</v>
      </c>
      <c r="B564" s="196">
        <v>4</v>
      </c>
      <c r="C564" s="196">
        <v>2</v>
      </c>
      <c r="D564" s="213">
        <v>0</v>
      </c>
      <c r="E564" s="154">
        <v>0</v>
      </c>
      <c r="F564" s="94" t="s">
        <v>1547</v>
      </c>
      <c r="G564" s="95" t="s">
        <v>1545</v>
      </c>
      <c r="H564" s="16">
        <v>1</v>
      </c>
      <c r="I564" s="143">
        <v>47000</v>
      </c>
      <c r="J564" s="17"/>
      <c r="K564" s="17"/>
      <c r="L564" s="419">
        <f t="shared" si="26"/>
        <v>47000</v>
      </c>
      <c r="M564" s="17"/>
      <c r="N564" s="129"/>
    </row>
    <row r="565" spans="1:14" ht="14.25">
      <c r="A565" t="s">
        <v>39</v>
      </c>
      <c r="B565" s="196">
        <v>4</v>
      </c>
      <c r="C565" s="196">
        <v>2</v>
      </c>
      <c r="D565" s="213">
        <v>0</v>
      </c>
      <c r="E565" s="154">
        <v>0</v>
      </c>
      <c r="F565" s="88" t="s">
        <v>1580</v>
      </c>
      <c r="G565" s="95" t="s">
        <v>1545</v>
      </c>
      <c r="H565" s="16">
        <v>0</v>
      </c>
      <c r="I565" s="143">
        <v>120000</v>
      </c>
      <c r="J565" s="17"/>
      <c r="K565" s="17"/>
      <c r="L565" s="419">
        <f t="shared" si="26"/>
        <v>0</v>
      </c>
      <c r="M565" s="17"/>
      <c r="N565" s="129"/>
    </row>
    <row r="566" spans="1:14" ht="14.25">
      <c r="A566" t="s">
        <v>573</v>
      </c>
      <c r="B566" s="196">
        <v>4</v>
      </c>
      <c r="C566" s="196">
        <v>2</v>
      </c>
      <c r="D566" s="213">
        <v>1</v>
      </c>
      <c r="E566" s="154">
        <v>47000</v>
      </c>
      <c r="F566" s="91" t="s">
        <v>1578</v>
      </c>
      <c r="G566" s="15"/>
      <c r="H566" s="16">
        <v>0</v>
      </c>
      <c r="I566" s="143">
        <v>121000</v>
      </c>
      <c r="J566" s="17"/>
      <c r="K566" s="17"/>
      <c r="L566" s="419">
        <f t="shared" si="26"/>
        <v>0</v>
      </c>
      <c r="M566" s="17"/>
      <c r="N566" s="129"/>
    </row>
    <row r="567" spans="1:14" ht="14.25">
      <c r="A567" t="s">
        <v>573</v>
      </c>
      <c r="B567" s="196">
        <v>4</v>
      </c>
      <c r="C567" s="196">
        <v>2</v>
      </c>
      <c r="D567" s="16">
        <v>0</v>
      </c>
      <c r="E567" s="217">
        <v>0</v>
      </c>
      <c r="F567" s="91" t="s">
        <v>1579</v>
      </c>
      <c r="G567" s="15"/>
      <c r="H567" s="16">
        <v>1</v>
      </c>
      <c r="I567" s="143">
        <v>122000</v>
      </c>
      <c r="J567" s="17"/>
      <c r="K567" s="17"/>
      <c r="L567" s="419">
        <f t="shared" si="26"/>
        <v>122000</v>
      </c>
      <c r="M567" s="17"/>
      <c r="N567" s="129"/>
    </row>
    <row r="568" spans="1:14" ht="14.25">
      <c r="A568" t="s">
        <v>40</v>
      </c>
      <c r="B568" s="196">
        <v>4</v>
      </c>
      <c r="C568" s="196">
        <v>2</v>
      </c>
      <c r="D568" s="16">
        <v>1</v>
      </c>
      <c r="E568" s="217">
        <v>122000</v>
      </c>
      <c r="F568" s="603" t="s">
        <v>941</v>
      </c>
      <c r="G568" s="15" t="s">
        <v>649</v>
      </c>
      <c r="H568" s="16">
        <v>300</v>
      </c>
      <c r="I568" s="143">
        <v>666</v>
      </c>
      <c r="J568" s="17"/>
      <c r="K568" s="17"/>
      <c r="L568" s="419">
        <f t="shared" si="26"/>
        <v>199800</v>
      </c>
      <c r="M568" s="17"/>
      <c r="N568" s="129"/>
    </row>
    <row r="569" spans="1:14" ht="14.25">
      <c r="A569" t="s">
        <v>573</v>
      </c>
      <c r="B569" s="196">
        <v>4</v>
      </c>
      <c r="C569" s="196">
        <v>2</v>
      </c>
      <c r="D569" s="16">
        <v>0</v>
      </c>
      <c r="E569" s="217">
        <v>0</v>
      </c>
      <c r="F569" s="14" t="s">
        <v>989</v>
      </c>
      <c r="G569" s="15"/>
      <c r="H569" s="16">
        <v>80</v>
      </c>
      <c r="I569" s="544">
        <v>1150</v>
      </c>
      <c r="J569" s="17"/>
      <c r="K569" s="17"/>
      <c r="L569" s="419">
        <f t="shared" si="26"/>
        <v>92000</v>
      </c>
      <c r="M569" s="17"/>
      <c r="N569" s="129"/>
    </row>
    <row r="570" spans="1:14" ht="14.25">
      <c r="A570" t="s">
        <v>40</v>
      </c>
      <c r="B570" s="196">
        <v>4</v>
      </c>
      <c r="C570" s="196">
        <v>2</v>
      </c>
      <c r="D570" s="118">
        <v>5</v>
      </c>
      <c r="E570" s="197">
        <v>3330</v>
      </c>
      <c r="F570" s="605" t="s">
        <v>993</v>
      </c>
      <c r="G570" s="15" t="s">
        <v>721</v>
      </c>
      <c r="H570" s="16">
        <v>4</v>
      </c>
      <c r="I570" s="143">
        <v>580</v>
      </c>
      <c r="J570" s="17"/>
      <c r="K570" s="17"/>
      <c r="L570" s="419">
        <f t="shared" si="26"/>
        <v>2320</v>
      </c>
      <c r="M570" s="17"/>
      <c r="N570" s="129"/>
    </row>
    <row r="571" spans="1:14" ht="14.25">
      <c r="A571" t="s">
        <v>40</v>
      </c>
      <c r="B571" s="196">
        <v>4</v>
      </c>
      <c r="C571" s="196">
        <v>2</v>
      </c>
      <c r="D571" s="118">
        <v>200</v>
      </c>
      <c r="E571" s="197">
        <v>116000</v>
      </c>
      <c r="F571" s="605" t="s">
        <v>994</v>
      </c>
      <c r="G571" s="15" t="s">
        <v>721</v>
      </c>
      <c r="H571" s="16">
        <v>5</v>
      </c>
      <c r="I571" s="143">
        <v>580</v>
      </c>
      <c r="J571" s="17"/>
      <c r="K571" s="17"/>
      <c r="L571" s="419">
        <f t="shared" si="26"/>
        <v>2900</v>
      </c>
      <c r="M571" s="17"/>
      <c r="N571" s="129"/>
    </row>
    <row r="572" spans="1:14" ht="14.25">
      <c r="A572" t="s">
        <v>40</v>
      </c>
      <c r="B572" s="196">
        <v>4</v>
      </c>
      <c r="C572" s="196">
        <v>2</v>
      </c>
      <c r="D572" s="118">
        <v>4</v>
      </c>
      <c r="E572" s="197">
        <v>2320</v>
      </c>
      <c r="F572" s="14" t="s">
        <v>995</v>
      </c>
      <c r="G572" s="15" t="s">
        <v>721</v>
      </c>
      <c r="H572" s="627">
        <v>200</v>
      </c>
      <c r="I572" s="642">
        <v>1169</v>
      </c>
      <c r="J572" s="17"/>
      <c r="K572" s="17"/>
      <c r="L572" s="419">
        <f t="shared" si="26"/>
        <v>233800</v>
      </c>
      <c r="M572" s="17"/>
      <c r="N572" s="129"/>
    </row>
    <row r="573" spans="1:14" ht="14.25">
      <c r="A573" t="s">
        <v>40</v>
      </c>
      <c r="B573" s="196">
        <v>4</v>
      </c>
      <c r="C573" s="196">
        <v>2</v>
      </c>
      <c r="D573" s="118">
        <v>80</v>
      </c>
      <c r="E573" s="197">
        <v>23800</v>
      </c>
      <c r="F573" s="604" t="s">
        <v>940</v>
      </c>
      <c r="G573" s="15" t="s">
        <v>649</v>
      </c>
      <c r="H573" s="16">
        <v>200</v>
      </c>
      <c r="I573" s="17">
        <v>580</v>
      </c>
      <c r="J573" s="17"/>
      <c r="K573" s="17"/>
      <c r="L573" s="419">
        <f t="shared" si="26"/>
        <v>116000</v>
      </c>
      <c r="M573" s="17"/>
      <c r="N573" s="129"/>
    </row>
    <row r="574" spans="1:14" ht="14.25">
      <c r="A574" t="s">
        <v>40</v>
      </c>
      <c r="B574" s="196">
        <v>4</v>
      </c>
      <c r="C574" s="196">
        <v>2</v>
      </c>
      <c r="D574" s="118">
        <v>5</v>
      </c>
      <c r="E574" s="197">
        <v>2900</v>
      </c>
      <c r="F574" s="603" t="s">
        <v>945</v>
      </c>
      <c r="G574" s="15" t="s">
        <v>721</v>
      </c>
      <c r="H574" s="552">
        <v>150</v>
      </c>
      <c r="I574" s="549">
        <v>1169</v>
      </c>
      <c r="J574" s="17"/>
      <c r="K574" s="17"/>
      <c r="L574" s="419">
        <f t="shared" si="26"/>
        <v>175350</v>
      </c>
      <c r="M574" s="17"/>
      <c r="N574" s="129"/>
    </row>
    <row r="575" spans="1:14" ht="14.25">
      <c r="A575" t="s">
        <v>40</v>
      </c>
      <c r="B575" s="196">
        <v>4</v>
      </c>
      <c r="C575" s="196">
        <v>2</v>
      </c>
      <c r="D575" s="118">
        <v>5</v>
      </c>
      <c r="E575" s="218">
        <v>2900</v>
      </c>
      <c r="F575" s="551" t="s">
        <v>944</v>
      </c>
      <c r="G575" s="92" t="s">
        <v>721</v>
      </c>
      <c r="H575" s="552">
        <v>150</v>
      </c>
      <c r="I575" s="549">
        <v>1169</v>
      </c>
      <c r="J575" s="17"/>
      <c r="K575" s="17"/>
      <c r="L575" s="419">
        <f t="shared" si="26"/>
        <v>175350</v>
      </c>
      <c r="M575" s="17"/>
      <c r="N575" s="129"/>
    </row>
    <row r="576" spans="1:14" ht="14.25">
      <c r="A576" t="s">
        <v>40</v>
      </c>
      <c r="B576" s="196">
        <v>4</v>
      </c>
      <c r="C576" s="196">
        <v>2</v>
      </c>
      <c r="D576" s="118">
        <v>5</v>
      </c>
      <c r="E576" s="218">
        <v>2600</v>
      </c>
      <c r="F576" s="551" t="s">
        <v>943</v>
      </c>
      <c r="G576" s="92" t="s">
        <v>721</v>
      </c>
      <c r="H576" s="552">
        <v>200</v>
      </c>
      <c r="I576" s="549">
        <v>1050</v>
      </c>
      <c r="J576" s="17"/>
      <c r="K576" s="17"/>
      <c r="L576" s="419">
        <f t="shared" si="26"/>
        <v>210000</v>
      </c>
      <c r="M576" s="17"/>
      <c r="N576" s="129"/>
    </row>
    <row r="577" spans="1:14" ht="14.25">
      <c r="A577" t="s">
        <v>40</v>
      </c>
      <c r="B577" s="196">
        <v>4</v>
      </c>
      <c r="C577" s="196">
        <v>2</v>
      </c>
      <c r="D577" s="118">
        <v>5</v>
      </c>
      <c r="E577" s="215">
        <v>3850</v>
      </c>
      <c r="F577" s="605" t="s">
        <v>996</v>
      </c>
      <c r="G577" s="92" t="s">
        <v>649</v>
      </c>
      <c r="H577" s="133">
        <v>45</v>
      </c>
      <c r="I577" s="639">
        <v>300</v>
      </c>
      <c r="J577" s="17"/>
      <c r="K577" s="17"/>
      <c r="L577" s="419">
        <f aca="true" t="shared" si="27" ref="L577:L608">(H577*I577)</f>
        <v>13500</v>
      </c>
      <c r="M577" s="17"/>
      <c r="N577" s="129"/>
    </row>
    <row r="578" spans="1:14" ht="14.25">
      <c r="A578" t="s">
        <v>40</v>
      </c>
      <c r="B578" s="196">
        <v>4</v>
      </c>
      <c r="C578" s="196">
        <v>2</v>
      </c>
      <c r="D578" s="118">
        <v>5</v>
      </c>
      <c r="E578" s="215">
        <v>3850</v>
      </c>
      <c r="F578" s="551" t="s">
        <v>942</v>
      </c>
      <c r="G578" s="92" t="s">
        <v>721</v>
      </c>
      <c r="H578" s="16">
        <v>5</v>
      </c>
      <c r="I578" s="17">
        <v>770.56</v>
      </c>
      <c r="J578" s="17"/>
      <c r="K578" s="17"/>
      <c r="L578" s="419">
        <f t="shared" si="27"/>
        <v>3852.7999999999997</v>
      </c>
      <c r="M578" s="17"/>
      <c r="N578" s="129"/>
    </row>
    <row r="579" spans="1:14" ht="15">
      <c r="A579" t="s">
        <v>40</v>
      </c>
      <c r="B579" s="196">
        <v>4</v>
      </c>
      <c r="C579" s="196">
        <v>2</v>
      </c>
      <c r="D579" s="118">
        <v>5</v>
      </c>
      <c r="E579" s="215">
        <v>3852.8</v>
      </c>
      <c r="F579" s="14" t="s">
        <v>997</v>
      </c>
      <c r="G579" s="15" t="s">
        <v>721</v>
      </c>
      <c r="H579" s="278">
        <v>100</v>
      </c>
      <c r="I579" s="277">
        <v>1725</v>
      </c>
      <c r="J579" s="17"/>
      <c r="K579" s="17"/>
      <c r="L579" s="419">
        <f t="shared" si="27"/>
        <v>172500</v>
      </c>
      <c r="M579" s="17"/>
      <c r="N579" s="129"/>
    </row>
    <row r="580" spans="1:14" ht="15">
      <c r="A580" t="s">
        <v>40</v>
      </c>
      <c r="B580" s="196">
        <v>4</v>
      </c>
      <c r="C580" s="196">
        <v>2</v>
      </c>
      <c r="D580" s="118">
        <v>45</v>
      </c>
      <c r="E580" s="215">
        <v>13500</v>
      </c>
      <c r="F580" s="14" t="s">
        <v>998</v>
      </c>
      <c r="G580" s="15" t="s">
        <v>649</v>
      </c>
      <c r="H580" s="278">
        <v>100</v>
      </c>
      <c r="I580" s="277">
        <v>1127</v>
      </c>
      <c r="J580" s="17"/>
      <c r="K580" s="17"/>
      <c r="L580" s="419">
        <f t="shared" si="27"/>
        <v>112700</v>
      </c>
      <c r="M580" s="17"/>
      <c r="N580" s="129"/>
    </row>
    <row r="581" spans="1:14" ht="14.25">
      <c r="A581" t="s">
        <v>40</v>
      </c>
      <c r="B581" s="196">
        <v>4</v>
      </c>
      <c r="C581" s="196">
        <v>2</v>
      </c>
      <c r="D581" s="118">
        <v>100</v>
      </c>
      <c r="E581" s="215">
        <v>172500</v>
      </c>
      <c r="F581" s="94" t="s">
        <v>1474</v>
      </c>
      <c r="G581" s="15" t="s">
        <v>721</v>
      </c>
      <c r="H581" s="16">
        <v>1</v>
      </c>
      <c r="I581" s="135">
        <v>2200</v>
      </c>
      <c r="J581" s="17"/>
      <c r="K581" s="17"/>
      <c r="L581" s="419">
        <f t="shared" si="27"/>
        <v>2200</v>
      </c>
      <c r="M581" s="17"/>
      <c r="N581" s="129"/>
    </row>
    <row r="582" spans="1:14" ht="14.25">
      <c r="A582" t="s">
        <v>40</v>
      </c>
      <c r="B582" s="196">
        <v>4</v>
      </c>
      <c r="C582" s="196">
        <v>2</v>
      </c>
      <c r="D582" s="118">
        <v>100</v>
      </c>
      <c r="E582" s="215">
        <v>112700</v>
      </c>
      <c r="F582" s="94" t="s">
        <v>1473</v>
      </c>
      <c r="G582" s="92"/>
      <c r="H582" s="16">
        <v>125</v>
      </c>
      <c r="I582" s="135">
        <v>2300</v>
      </c>
      <c r="J582" s="17"/>
      <c r="K582" s="17"/>
      <c r="L582" s="419">
        <f t="shared" si="27"/>
        <v>287500</v>
      </c>
      <c r="M582" s="17"/>
      <c r="N582" s="129"/>
    </row>
    <row r="583" spans="1:14" ht="14.25">
      <c r="A583" t="s">
        <v>40</v>
      </c>
      <c r="B583" s="196">
        <v>4</v>
      </c>
      <c r="C583" s="196">
        <v>2</v>
      </c>
      <c r="D583" s="118">
        <v>1</v>
      </c>
      <c r="E583" s="197">
        <v>2200</v>
      </c>
      <c r="F583" s="14" t="s">
        <v>999</v>
      </c>
      <c r="G583" s="92"/>
      <c r="H583" s="16">
        <v>10</v>
      </c>
      <c r="I583" s="17">
        <v>476</v>
      </c>
      <c r="J583" s="17"/>
      <c r="K583" s="17"/>
      <c r="L583" s="419">
        <f t="shared" si="27"/>
        <v>4760</v>
      </c>
      <c r="M583" s="17"/>
      <c r="N583" s="129"/>
    </row>
    <row r="584" spans="1:14" ht="14.25">
      <c r="A584" t="s">
        <v>40</v>
      </c>
      <c r="B584" s="196">
        <v>4</v>
      </c>
      <c r="C584" s="196">
        <v>2</v>
      </c>
      <c r="D584" s="118">
        <v>125</v>
      </c>
      <c r="E584" s="197">
        <v>287500</v>
      </c>
      <c r="F584" s="14" t="s">
        <v>1381</v>
      </c>
      <c r="G584" s="92" t="s">
        <v>721</v>
      </c>
      <c r="H584" s="85">
        <v>20</v>
      </c>
      <c r="I584" s="84">
        <v>2030</v>
      </c>
      <c r="J584" s="17"/>
      <c r="K584" s="17"/>
      <c r="L584" s="419">
        <f t="shared" si="27"/>
        <v>40600</v>
      </c>
      <c r="M584" s="17"/>
      <c r="N584" s="129"/>
    </row>
    <row r="585" spans="1:14" ht="14.25">
      <c r="A585" t="s">
        <v>40</v>
      </c>
      <c r="B585" s="196">
        <v>4</v>
      </c>
      <c r="C585" s="196">
        <v>2</v>
      </c>
      <c r="D585" s="118">
        <v>10</v>
      </c>
      <c r="E585" s="197">
        <v>4760</v>
      </c>
      <c r="F585" s="2" t="s">
        <v>1186</v>
      </c>
      <c r="G585" s="92" t="s">
        <v>721</v>
      </c>
      <c r="H585" s="16">
        <v>1500</v>
      </c>
      <c r="I585" s="17">
        <f>980*1.16</f>
        <v>1136.8</v>
      </c>
      <c r="J585" s="17"/>
      <c r="K585" s="17"/>
      <c r="L585" s="419">
        <f t="shared" si="27"/>
        <v>1705200</v>
      </c>
      <c r="M585" s="17"/>
      <c r="N585" s="129"/>
    </row>
    <row r="586" spans="1:14" ht="14.25">
      <c r="A586" t="s">
        <v>40</v>
      </c>
      <c r="B586" s="196">
        <v>4</v>
      </c>
      <c r="C586" s="196">
        <v>2</v>
      </c>
      <c r="D586" s="118">
        <v>20</v>
      </c>
      <c r="E586" s="197">
        <v>40600</v>
      </c>
      <c r="F586" s="94" t="s">
        <v>1449</v>
      </c>
      <c r="G586" s="92" t="s">
        <v>761</v>
      </c>
      <c r="H586" s="16">
        <v>0</v>
      </c>
      <c r="I586" s="135">
        <v>175000</v>
      </c>
      <c r="J586" s="17"/>
      <c r="K586" s="17"/>
      <c r="L586" s="419">
        <f t="shared" si="27"/>
        <v>0</v>
      </c>
      <c r="M586" s="17"/>
      <c r="N586" s="129"/>
    </row>
    <row r="587" spans="1:14" ht="14.25">
      <c r="A587" t="s">
        <v>906</v>
      </c>
      <c r="B587" s="196">
        <v>4</v>
      </c>
      <c r="C587" s="196">
        <v>2</v>
      </c>
      <c r="D587" s="118">
        <v>1</v>
      </c>
      <c r="E587" s="197">
        <v>178454.11</v>
      </c>
      <c r="F587" s="94" t="s">
        <v>1450</v>
      </c>
      <c r="G587" s="15"/>
      <c r="H587" s="16">
        <v>0</v>
      </c>
      <c r="I587" s="135">
        <v>178000</v>
      </c>
      <c r="J587" s="17"/>
      <c r="K587" s="17"/>
      <c r="L587" s="419">
        <f t="shared" si="27"/>
        <v>0</v>
      </c>
      <c r="M587" s="17"/>
      <c r="N587" s="129"/>
    </row>
    <row r="588" spans="1:14" ht="14.25">
      <c r="A588" t="s">
        <v>42</v>
      </c>
      <c r="B588" s="196">
        <v>4</v>
      </c>
      <c r="C588" s="196">
        <v>2</v>
      </c>
      <c r="D588" s="118">
        <v>0</v>
      </c>
      <c r="E588" s="197">
        <v>0</v>
      </c>
      <c r="F588" s="97" t="s">
        <v>1448</v>
      </c>
      <c r="G588" s="15"/>
      <c r="H588" s="16">
        <v>1</v>
      </c>
      <c r="I588" s="135">
        <v>190000</v>
      </c>
      <c r="J588" s="17"/>
      <c r="K588" s="17"/>
      <c r="L588" s="419">
        <f t="shared" si="27"/>
        <v>190000</v>
      </c>
      <c r="M588" s="17"/>
      <c r="N588" s="129"/>
    </row>
    <row r="589" spans="1:14" ht="14.25">
      <c r="A589" t="s">
        <v>42</v>
      </c>
      <c r="B589" s="196">
        <v>4</v>
      </c>
      <c r="C589" s="196">
        <v>2</v>
      </c>
      <c r="D589" s="118">
        <v>0</v>
      </c>
      <c r="E589" s="197">
        <v>0</v>
      </c>
      <c r="F589" s="256" t="s">
        <v>1383</v>
      </c>
      <c r="G589" s="15"/>
      <c r="H589" s="16">
        <v>5</v>
      </c>
      <c r="I589" s="17">
        <v>1160</v>
      </c>
      <c r="J589" s="17"/>
      <c r="K589" s="17"/>
      <c r="L589" s="419">
        <f t="shared" si="27"/>
        <v>5800</v>
      </c>
      <c r="M589" s="17"/>
      <c r="N589" s="129"/>
    </row>
    <row r="590" spans="1:14" ht="14.25">
      <c r="A590" t="s">
        <v>42</v>
      </c>
      <c r="B590" s="196">
        <v>4</v>
      </c>
      <c r="C590" s="196">
        <v>2</v>
      </c>
      <c r="D590" s="118">
        <v>1</v>
      </c>
      <c r="E590" s="197">
        <v>190000</v>
      </c>
      <c r="F590" s="14" t="s">
        <v>1000</v>
      </c>
      <c r="G590" s="15" t="s">
        <v>649</v>
      </c>
      <c r="H590" s="16">
        <v>2</v>
      </c>
      <c r="I590" s="17">
        <v>800</v>
      </c>
      <c r="J590" s="17"/>
      <c r="K590" s="17"/>
      <c r="L590" s="419">
        <f t="shared" si="27"/>
        <v>1600</v>
      </c>
      <c r="M590" s="17"/>
      <c r="N590" s="129"/>
    </row>
    <row r="591" spans="1:14" ht="14.25">
      <c r="A591" t="s">
        <v>43</v>
      </c>
      <c r="B591" s="196">
        <v>4</v>
      </c>
      <c r="C591" s="196">
        <v>2</v>
      </c>
      <c r="D591" s="118">
        <v>5</v>
      </c>
      <c r="E591" s="197">
        <v>5800</v>
      </c>
      <c r="F591" s="14" t="s">
        <v>46</v>
      </c>
      <c r="G591" s="15" t="s">
        <v>649</v>
      </c>
      <c r="H591" s="16">
        <v>1</v>
      </c>
      <c r="I591" s="17">
        <v>29580</v>
      </c>
      <c r="J591" s="17"/>
      <c r="K591" s="17"/>
      <c r="L591" s="419">
        <f t="shared" si="27"/>
        <v>29580</v>
      </c>
      <c r="M591" s="17"/>
      <c r="N591" s="129"/>
    </row>
    <row r="592" spans="1:14" ht="14.25">
      <c r="A592" t="s">
        <v>45</v>
      </c>
      <c r="B592" s="196">
        <v>4</v>
      </c>
      <c r="C592" s="196">
        <v>2</v>
      </c>
      <c r="D592" s="118">
        <v>2</v>
      </c>
      <c r="E592" s="197">
        <v>1600</v>
      </c>
      <c r="F592" s="2" t="s">
        <v>46</v>
      </c>
      <c r="G592" s="15"/>
      <c r="H592" s="627">
        <v>25</v>
      </c>
      <c r="I592" s="17">
        <v>25000</v>
      </c>
      <c r="J592" s="17"/>
      <c r="K592" s="17"/>
      <c r="L592" s="419">
        <f t="shared" si="27"/>
        <v>625000</v>
      </c>
      <c r="M592" s="17"/>
      <c r="N592" s="129"/>
    </row>
    <row r="593" spans="1:14" ht="14.25">
      <c r="A593" t="s">
        <v>45</v>
      </c>
      <c r="B593" s="196">
        <v>4</v>
      </c>
      <c r="C593" s="196">
        <v>2</v>
      </c>
      <c r="D593" s="118">
        <v>1</v>
      </c>
      <c r="E593" s="197">
        <v>20990</v>
      </c>
      <c r="F593" s="2" t="s">
        <v>939</v>
      </c>
      <c r="G593" s="15" t="s">
        <v>649</v>
      </c>
      <c r="H593" s="133">
        <v>50</v>
      </c>
      <c r="I593" s="17">
        <v>9000</v>
      </c>
      <c r="J593" s="17"/>
      <c r="K593" s="17"/>
      <c r="L593" s="419">
        <f t="shared" si="27"/>
        <v>450000</v>
      </c>
      <c r="M593" s="17"/>
      <c r="N593" s="129"/>
    </row>
    <row r="594" spans="1:14" ht="14.25">
      <c r="A594" t="s">
        <v>45</v>
      </c>
      <c r="B594" s="196">
        <v>4</v>
      </c>
      <c r="C594" s="196">
        <v>2</v>
      </c>
      <c r="D594" s="118">
        <v>1</v>
      </c>
      <c r="E594" s="197">
        <v>29580</v>
      </c>
      <c r="F594" s="551" t="s">
        <v>946</v>
      </c>
      <c r="G594" s="15"/>
      <c r="H594" s="16">
        <v>1</v>
      </c>
      <c r="I594" s="17">
        <v>10990</v>
      </c>
      <c r="J594" s="17"/>
      <c r="K594" s="17"/>
      <c r="L594" s="419">
        <f t="shared" si="27"/>
        <v>10990</v>
      </c>
      <c r="M594" s="17"/>
      <c r="N594" s="129"/>
    </row>
    <row r="595" spans="1:14" ht="14.25">
      <c r="A595" t="s">
        <v>571</v>
      </c>
      <c r="B595" s="196">
        <v>4</v>
      </c>
      <c r="C595" s="196">
        <v>2</v>
      </c>
      <c r="D595" s="118">
        <v>50</v>
      </c>
      <c r="E595" s="197">
        <v>450000</v>
      </c>
      <c r="F595" s="608" t="s">
        <v>799</v>
      </c>
      <c r="G595" s="95"/>
      <c r="H595" s="16">
        <v>10</v>
      </c>
      <c r="I595" s="17">
        <v>6500</v>
      </c>
      <c r="J595" s="17"/>
      <c r="K595" s="17"/>
      <c r="L595" s="419">
        <f t="shared" si="27"/>
        <v>65000</v>
      </c>
      <c r="M595" s="17"/>
      <c r="N595" s="129"/>
    </row>
    <row r="596" spans="1:14" ht="14.25">
      <c r="A596" t="s">
        <v>44</v>
      </c>
      <c r="B596" s="196">
        <v>4</v>
      </c>
      <c r="C596" s="196">
        <v>2</v>
      </c>
      <c r="D596" s="118">
        <v>1</v>
      </c>
      <c r="E596" s="197">
        <v>20990</v>
      </c>
      <c r="F596" s="94" t="s">
        <v>47</v>
      </c>
      <c r="G596" s="15" t="s">
        <v>649</v>
      </c>
      <c r="H596" s="16">
        <v>10</v>
      </c>
      <c r="I596" s="17">
        <v>10400</v>
      </c>
      <c r="J596" s="17"/>
      <c r="K596" s="17"/>
      <c r="L596" s="419">
        <f t="shared" si="27"/>
        <v>104000</v>
      </c>
      <c r="M596" s="17"/>
      <c r="N596" s="129"/>
    </row>
    <row r="597" spans="1:14" ht="14.25">
      <c r="A597" t="s">
        <v>571</v>
      </c>
      <c r="B597" s="196">
        <v>4</v>
      </c>
      <c r="C597" s="196">
        <v>2</v>
      </c>
      <c r="D597" s="118">
        <v>1</v>
      </c>
      <c r="E597" s="154">
        <v>7700</v>
      </c>
      <c r="F597" s="592" t="s">
        <v>49</v>
      </c>
      <c r="G597" s="15" t="s">
        <v>649</v>
      </c>
      <c r="H597" s="16">
        <v>1</v>
      </c>
      <c r="I597" s="114">
        <v>7700</v>
      </c>
      <c r="J597" s="17"/>
      <c r="K597" s="17"/>
      <c r="L597" s="419">
        <f t="shared" si="27"/>
        <v>7700</v>
      </c>
      <c r="M597" s="17"/>
      <c r="N597" s="129"/>
    </row>
    <row r="598" spans="1:14" ht="14.25">
      <c r="A598" t="s">
        <v>48</v>
      </c>
      <c r="B598" s="196">
        <v>4</v>
      </c>
      <c r="C598" s="196">
        <v>2</v>
      </c>
      <c r="D598" s="118">
        <v>1</v>
      </c>
      <c r="E598" s="154">
        <v>6500</v>
      </c>
      <c r="F598" s="401" t="s">
        <v>270</v>
      </c>
      <c r="G598" s="95" t="s">
        <v>1540</v>
      </c>
      <c r="H598" s="16">
        <v>1</v>
      </c>
      <c r="I598" s="17">
        <v>13000</v>
      </c>
      <c r="J598" s="17"/>
      <c r="K598" s="17"/>
      <c r="L598" s="419">
        <f t="shared" si="27"/>
        <v>13000</v>
      </c>
      <c r="M598" s="17"/>
      <c r="N598" s="129"/>
    </row>
    <row r="599" spans="1:14" ht="14.25">
      <c r="A599" t="s">
        <v>1468</v>
      </c>
      <c r="B599" s="196">
        <v>4</v>
      </c>
      <c r="C599" s="196">
        <v>2</v>
      </c>
      <c r="D599" s="118">
        <v>1</v>
      </c>
      <c r="E599" s="219">
        <v>7700</v>
      </c>
      <c r="F599" s="94" t="s">
        <v>1416</v>
      </c>
      <c r="G599" s="15"/>
      <c r="H599" s="16">
        <v>1</v>
      </c>
      <c r="I599" s="148">
        <v>90000</v>
      </c>
      <c r="J599" s="17"/>
      <c r="K599" s="17"/>
      <c r="L599" s="419">
        <f t="shared" si="27"/>
        <v>90000</v>
      </c>
      <c r="M599" s="17"/>
      <c r="N599" s="129"/>
    </row>
    <row r="600" spans="1:14" ht="15">
      <c r="A600" t="s">
        <v>38</v>
      </c>
      <c r="B600" s="196">
        <v>4</v>
      </c>
      <c r="C600" s="196">
        <v>2</v>
      </c>
      <c r="D600" s="16">
        <v>1</v>
      </c>
      <c r="E600" s="217">
        <v>6222</v>
      </c>
      <c r="F600" s="406" t="s">
        <v>1688</v>
      </c>
      <c r="G600" s="95" t="s">
        <v>1610</v>
      </c>
      <c r="H600" s="16">
        <v>0</v>
      </c>
      <c r="I600" s="114">
        <v>986</v>
      </c>
      <c r="J600" s="17"/>
      <c r="K600" s="17"/>
      <c r="L600" s="419">
        <f t="shared" si="27"/>
        <v>0</v>
      </c>
      <c r="M600" s="124"/>
      <c r="N600" s="129"/>
    </row>
    <row r="601" spans="1:14" ht="14.25">
      <c r="A601" t="s">
        <v>901</v>
      </c>
      <c r="B601" s="196">
        <v>4</v>
      </c>
      <c r="C601" s="196">
        <v>2</v>
      </c>
      <c r="D601" s="118">
        <v>1</v>
      </c>
      <c r="E601" s="154">
        <v>90000</v>
      </c>
      <c r="F601" s="595" t="s">
        <v>201</v>
      </c>
      <c r="G601" s="87" t="s">
        <v>1540</v>
      </c>
      <c r="H601" s="16">
        <v>2</v>
      </c>
      <c r="I601" s="638">
        <v>15600</v>
      </c>
      <c r="J601" s="17"/>
      <c r="K601" s="17"/>
      <c r="L601" s="419">
        <f t="shared" si="27"/>
        <v>31200</v>
      </c>
      <c r="M601" s="17"/>
      <c r="N601" s="129"/>
    </row>
    <row r="602" spans="1:14" ht="14.25">
      <c r="A602" t="s">
        <v>50</v>
      </c>
      <c r="B602" s="196">
        <v>4</v>
      </c>
      <c r="C602" s="196">
        <v>2</v>
      </c>
      <c r="D602" s="118">
        <v>1</v>
      </c>
      <c r="E602" s="154">
        <v>13000</v>
      </c>
      <c r="F602" s="592" t="s">
        <v>292</v>
      </c>
      <c r="G602" s="95" t="s">
        <v>1577</v>
      </c>
      <c r="H602" s="16">
        <v>2</v>
      </c>
      <c r="I602" s="639">
        <v>32500</v>
      </c>
      <c r="J602" s="17"/>
      <c r="K602" s="17"/>
      <c r="L602" s="419">
        <f t="shared" si="27"/>
        <v>65000</v>
      </c>
      <c r="M602" s="17"/>
      <c r="N602" s="129"/>
    </row>
    <row r="603" spans="1:14" ht="14.25">
      <c r="A603" t="s">
        <v>1625</v>
      </c>
      <c r="B603" s="196">
        <v>4</v>
      </c>
      <c r="C603" s="196">
        <v>2</v>
      </c>
      <c r="D603" s="118">
        <v>1</v>
      </c>
      <c r="E603" s="154">
        <v>18000</v>
      </c>
      <c r="F603" s="568" t="s">
        <v>202</v>
      </c>
      <c r="G603" s="532" t="s">
        <v>1001</v>
      </c>
      <c r="H603" s="16">
        <v>1</v>
      </c>
      <c r="I603" s="17">
        <v>17500</v>
      </c>
      <c r="J603" s="17"/>
      <c r="K603" s="17"/>
      <c r="L603" s="419">
        <f t="shared" si="27"/>
        <v>17500</v>
      </c>
      <c r="M603" s="17"/>
      <c r="N603" s="129"/>
    </row>
    <row r="604" spans="1:14" ht="14.25">
      <c r="A604" t="s">
        <v>1626</v>
      </c>
      <c r="B604" s="196">
        <v>4</v>
      </c>
      <c r="C604" s="196">
        <v>2</v>
      </c>
      <c r="D604" s="118">
        <v>17</v>
      </c>
      <c r="E604" s="154">
        <v>27608</v>
      </c>
      <c r="F604" s="94" t="s">
        <v>1624</v>
      </c>
      <c r="G604" s="532" t="s">
        <v>1001</v>
      </c>
      <c r="H604" s="16">
        <v>4</v>
      </c>
      <c r="I604" s="17">
        <v>21300</v>
      </c>
      <c r="J604" s="17"/>
      <c r="K604" s="17"/>
      <c r="L604" s="419">
        <f t="shared" si="27"/>
        <v>85200</v>
      </c>
      <c r="M604" s="17"/>
      <c r="N604" s="129"/>
    </row>
    <row r="605" spans="1:14" ht="14.25">
      <c r="A605" t="s">
        <v>901</v>
      </c>
      <c r="B605" s="196">
        <v>4</v>
      </c>
      <c r="C605" s="196">
        <v>2</v>
      </c>
      <c r="D605" s="118">
        <v>1</v>
      </c>
      <c r="E605" s="154">
        <v>17500</v>
      </c>
      <c r="F605" s="94" t="s">
        <v>1606</v>
      </c>
      <c r="G605" s="87"/>
      <c r="H605" s="118">
        <v>1</v>
      </c>
      <c r="I605" s="136">
        <v>45000</v>
      </c>
      <c r="J605" s="17"/>
      <c r="K605" s="17"/>
      <c r="L605" s="419">
        <f t="shared" si="27"/>
        <v>45000</v>
      </c>
      <c r="M605" s="17"/>
      <c r="N605" s="129"/>
    </row>
    <row r="606" spans="1:14" ht="14.25">
      <c r="A606" t="s">
        <v>51</v>
      </c>
      <c r="B606" s="196">
        <v>4</v>
      </c>
      <c r="C606" s="196">
        <v>2</v>
      </c>
      <c r="D606" s="118">
        <v>4</v>
      </c>
      <c r="E606" s="154">
        <v>85200</v>
      </c>
      <c r="F606" s="94" t="s">
        <v>1605</v>
      </c>
      <c r="G606" s="15"/>
      <c r="H606" s="118">
        <v>1</v>
      </c>
      <c r="I606" s="136">
        <v>46000</v>
      </c>
      <c r="J606" s="17"/>
      <c r="K606" s="17"/>
      <c r="L606" s="419">
        <f t="shared" si="27"/>
        <v>46000</v>
      </c>
      <c r="M606" s="17"/>
      <c r="N606" s="129"/>
    </row>
    <row r="607" spans="1:14" ht="14.25">
      <c r="A607" t="s">
        <v>51</v>
      </c>
      <c r="B607" s="196">
        <v>4</v>
      </c>
      <c r="C607" s="196">
        <v>2</v>
      </c>
      <c r="D607" s="118">
        <v>1</v>
      </c>
      <c r="E607" s="220">
        <v>45000</v>
      </c>
      <c r="F607" s="86" t="s">
        <v>1607</v>
      </c>
      <c r="G607" s="15"/>
      <c r="H607" s="118">
        <v>1</v>
      </c>
      <c r="I607" s="136">
        <v>47000</v>
      </c>
      <c r="J607" s="17"/>
      <c r="K607" s="17"/>
      <c r="L607" s="419">
        <f t="shared" si="27"/>
        <v>47000</v>
      </c>
      <c r="M607" s="17"/>
      <c r="N607" s="129"/>
    </row>
    <row r="608" spans="1:14" ht="14.25">
      <c r="A608" t="s">
        <v>51</v>
      </c>
      <c r="B608" s="196">
        <v>4</v>
      </c>
      <c r="C608" s="196">
        <v>2</v>
      </c>
      <c r="D608" s="118">
        <v>1</v>
      </c>
      <c r="E608" s="220">
        <v>46000</v>
      </c>
      <c r="F608" s="94" t="s">
        <v>1680</v>
      </c>
      <c r="G608" s="15"/>
      <c r="H608" s="118">
        <v>1</v>
      </c>
      <c r="I608" s="136">
        <v>32000</v>
      </c>
      <c r="J608" s="17"/>
      <c r="K608" s="17"/>
      <c r="L608" s="419">
        <f t="shared" si="27"/>
        <v>32000</v>
      </c>
      <c r="M608" s="17"/>
      <c r="N608" s="129"/>
    </row>
    <row r="609" spans="1:14" ht="14.25">
      <c r="A609" t="s">
        <v>52</v>
      </c>
      <c r="B609" s="196">
        <v>4</v>
      </c>
      <c r="C609" s="196">
        <v>2</v>
      </c>
      <c r="D609" s="118">
        <v>1</v>
      </c>
      <c r="E609" s="220">
        <v>47000</v>
      </c>
      <c r="F609" s="94" t="s">
        <v>4</v>
      </c>
      <c r="G609" s="95" t="s">
        <v>1545</v>
      </c>
      <c r="H609" s="118">
        <v>1</v>
      </c>
      <c r="I609" s="136">
        <v>35000</v>
      </c>
      <c r="J609" s="17"/>
      <c r="K609" s="17"/>
      <c r="L609" s="419">
        <f aca="true" t="shared" si="28" ref="L609:L640">(H609*I609)</f>
        <v>35000</v>
      </c>
      <c r="M609" s="17"/>
      <c r="N609" s="129"/>
    </row>
    <row r="610" spans="1:14" ht="14.25">
      <c r="A610" t="s">
        <v>52</v>
      </c>
      <c r="B610" s="196">
        <v>4</v>
      </c>
      <c r="C610" s="196">
        <v>2</v>
      </c>
      <c r="D610" s="118">
        <v>1</v>
      </c>
      <c r="E610" s="220">
        <v>32000</v>
      </c>
      <c r="F610" s="94" t="s">
        <v>1587</v>
      </c>
      <c r="G610" s="95" t="s">
        <v>1545</v>
      </c>
      <c r="H610" s="118">
        <v>1</v>
      </c>
      <c r="I610" s="136">
        <v>36000</v>
      </c>
      <c r="J610" s="17"/>
      <c r="K610" s="17"/>
      <c r="L610" s="419">
        <f t="shared" si="28"/>
        <v>36000</v>
      </c>
      <c r="M610" s="17"/>
      <c r="N610" s="129"/>
    </row>
    <row r="611" spans="1:14" ht="14.25">
      <c r="A611" t="s">
        <v>52</v>
      </c>
      <c r="B611" s="196">
        <v>4</v>
      </c>
      <c r="C611" s="196">
        <v>2</v>
      </c>
      <c r="D611" s="118">
        <v>1</v>
      </c>
      <c r="E611" s="220">
        <v>35000</v>
      </c>
      <c r="F611" s="94" t="s">
        <v>1588</v>
      </c>
      <c r="G611" s="15" t="s">
        <v>649</v>
      </c>
      <c r="H611" s="118">
        <v>1</v>
      </c>
      <c r="I611" s="136">
        <v>37000</v>
      </c>
      <c r="J611" s="17"/>
      <c r="K611" s="17"/>
      <c r="L611" s="419">
        <f t="shared" si="28"/>
        <v>37000</v>
      </c>
      <c r="M611" s="17"/>
      <c r="N611" s="129"/>
    </row>
    <row r="612" spans="1:14" ht="14.25">
      <c r="A612" t="s">
        <v>52</v>
      </c>
      <c r="B612" s="196">
        <v>4</v>
      </c>
      <c r="C612" s="196">
        <v>2</v>
      </c>
      <c r="D612" s="118">
        <v>1</v>
      </c>
      <c r="E612" s="220">
        <v>36000</v>
      </c>
      <c r="F612" s="86" t="s">
        <v>1591</v>
      </c>
      <c r="G612" s="15" t="s">
        <v>649</v>
      </c>
      <c r="H612" s="118">
        <v>1</v>
      </c>
      <c r="I612" s="136">
        <v>38000</v>
      </c>
      <c r="J612" s="17"/>
      <c r="K612" s="17"/>
      <c r="L612" s="419">
        <f t="shared" si="28"/>
        <v>38000</v>
      </c>
      <c r="M612" s="17"/>
      <c r="N612" s="129"/>
    </row>
    <row r="613" spans="1:14" ht="14.25">
      <c r="A613" t="s">
        <v>52</v>
      </c>
      <c r="B613" s="196">
        <v>4</v>
      </c>
      <c r="C613" s="196">
        <v>2</v>
      </c>
      <c r="D613" s="118">
        <v>1</v>
      </c>
      <c r="E613" s="220">
        <v>37000</v>
      </c>
      <c r="F613" s="94" t="s">
        <v>1590</v>
      </c>
      <c r="G613" s="15" t="s">
        <v>649</v>
      </c>
      <c r="H613" s="118">
        <v>1</v>
      </c>
      <c r="I613" s="136">
        <v>39000</v>
      </c>
      <c r="J613" s="17"/>
      <c r="K613" s="17"/>
      <c r="L613" s="419">
        <f t="shared" si="28"/>
        <v>39000</v>
      </c>
      <c r="M613" s="17"/>
      <c r="N613" s="129"/>
    </row>
    <row r="614" spans="1:14" ht="14.25">
      <c r="A614" t="s">
        <v>52</v>
      </c>
      <c r="B614" s="196">
        <v>4</v>
      </c>
      <c r="C614" s="196">
        <v>2</v>
      </c>
      <c r="D614" s="118">
        <v>1</v>
      </c>
      <c r="E614" s="220">
        <v>38000</v>
      </c>
      <c r="F614" s="94" t="s">
        <v>1589</v>
      </c>
      <c r="G614" s="15" t="s">
        <v>649</v>
      </c>
      <c r="H614" s="118">
        <v>1</v>
      </c>
      <c r="I614" s="136">
        <v>40000</v>
      </c>
      <c r="J614" s="17"/>
      <c r="K614" s="17"/>
      <c r="L614" s="419">
        <f t="shared" si="28"/>
        <v>40000</v>
      </c>
      <c r="M614" s="17"/>
      <c r="N614" s="129"/>
    </row>
    <row r="615" spans="1:14" ht="14.25">
      <c r="A615" t="s">
        <v>52</v>
      </c>
      <c r="B615" s="196">
        <v>4</v>
      </c>
      <c r="C615" s="196">
        <v>2</v>
      </c>
      <c r="D615" s="118">
        <v>1</v>
      </c>
      <c r="E615" s="220">
        <v>39000</v>
      </c>
      <c r="F615" s="94" t="s">
        <v>1603</v>
      </c>
      <c r="G615" s="15" t="s">
        <v>649</v>
      </c>
      <c r="H615" s="118">
        <v>1</v>
      </c>
      <c r="I615" s="136">
        <v>41000</v>
      </c>
      <c r="J615" s="17"/>
      <c r="K615" s="17"/>
      <c r="L615" s="419">
        <f t="shared" si="28"/>
        <v>41000</v>
      </c>
      <c r="M615" s="17"/>
      <c r="N615" s="129"/>
    </row>
    <row r="616" spans="1:14" ht="14.25">
      <c r="A616" t="s">
        <v>52</v>
      </c>
      <c r="B616" s="196">
        <v>4</v>
      </c>
      <c r="C616" s="196">
        <v>2</v>
      </c>
      <c r="D616" s="118">
        <v>1</v>
      </c>
      <c r="E616" s="220">
        <v>40000</v>
      </c>
      <c r="F616" s="94" t="s">
        <v>1604</v>
      </c>
      <c r="G616" s="15" t="s">
        <v>649</v>
      </c>
      <c r="H616" s="118">
        <v>1</v>
      </c>
      <c r="I616" s="136">
        <v>42000</v>
      </c>
      <c r="J616" s="17"/>
      <c r="K616" s="17"/>
      <c r="L616" s="419">
        <f t="shared" si="28"/>
        <v>42000</v>
      </c>
      <c r="M616" s="17"/>
      <c r="N616" s="129"/>
    </row>
    <row r="617" spans="1:14" ht="14.25">
      <c r="A617" t="s">
        <v>52</v>
      </c>
      <c r="B617" s="196">
        <v>4</v>
      </c>
      <c r="C617" s="196">
        <v>2</v>
      </c>
      <c r="D617" s="118">
        <v>1</v>
      </c>
      <c r="E617" s="220">
        <v>41000</v>
      </c>
      <c r="F617" s="94" t="s">
        <v>235</v>
      </c>
      <c r="G617" s="15" t="s">
        <v>649</v>
      </c>
      <c r="H617" s="118">
        <v>1</v>
      </c>
      <c r="I617" s="136">
        <v>43000</v>
      </c>
      <c r="J617" s="17"/>
      <c r="K617" s="17"/>
      <c r="L617" s="419">
        <f t="shared" si="28"/>
        <v>43000</v>
      </c>
      <c r="M617" s="17"/>
      <c r="N617" s="129"/>
    </row>
    <row r="618" spans="1:14" ht="14.25">
      <c r="A618" t="s">
        <v>907</v>
      </c>
      <c r="B618" s="196">
        <v>4</v>
      </c>
      <c r="C618" s="196">
        <v>2</v>
      </c>
      <c r="D618" s="118">
        <v>1</v>
      </c>
      <c r="E618" s="220">
        <v>43000</v>
      </c>
      <c r="F618" s="608" t="s">
        <v>798</v>
      </c>
      <c r="G618" s="296" t="s">
        <v>509</v>
      </c>
      <c r="H618" s="628">
        <v>1</v>
      </c>
      <c r="I618" s="156">
        <v>450</v>
      </c>
      <c r="J618" s="17"/>
      <c r="K618" s="17"/>
      <c r="L618" s="419">
        <f t="shared" si="28"/>
        <v>450</v>
      </c>
      <c r="M618" s="17"/>
      <c r="N618" s="129"/>
    </row>
    <row r="619" spans="1:14" ht="14.25">
      <c r="A619" t="s">
        <v>53</v>
      </c>
      <c r="B619" s="196">
        <v>4</v>
      </c>
      <c r="C619" s="196">
        <v>2</v>
      </c>
      <c r="D619" s="118">
        <v>1</v>
      </c>
      <c r="E619" s="220">
        <v>42000</v>
      </c>
      <c r="F619" s="606" t="s">
        <v>12</v>
      </c>
      <c r="G619" s="617" t="s">
        <v>234</v>
      </c>
      <c r="H619" s="623">
        <v>2000</v>
      </c>
      <c r="I619" s="638">
        <v>150</v>
      </c>
      <c r="J619" s="17"/>
      <c r="K619" s="17"/>
      <c r="L619" s="419">
        <f t="shared" si="28"/>
        <v>300000</v>
      </c>
      <c r="M619" s="17"/>
      <c r="N619" s="129"/>
    </row>
    <row r="620" spans="1:14" ht="14.25">
      <c r="A620" t="s">
        <v>907</v>
      </c>
      <c r="B620" s="196">
        <v>4</v>
      </c>
      <c r="C620" s="196">
        <v>2</v>
      </c>
      <c r="D620" s="118">
        <v>1</v>
      </c>
      <c r="E620" s="154">
        <v>450</v>
      </c>
      <c r="F620" s="94" t="s">
        <v>11</v>
      </c>
      <c r="G620" s="15"/>
      <c r="H620" s="118">
        <v>1</v>
      </c>
      <c r="I620" s="17">
        <v>370</v>
      </c>
      <c r="J620" s="17"/>
      <c r="K620" s="17"/>
      <c r="L620" s="419">
        <f t="shared" si="28"/>
        <v>370</v>
      </c>
      <c r="M620" s="17"/>
      <c r="N620" s="129"/>
    </row>
    <row r="621" spans="1:14" ht="14.25">
      <c r="A621" t="s">
        <v>907</v>
      </c>
      <c r="B621" s="196">
        <v>4</v>
      </c>
      <c r="C621" s="196">
        <v>2</v>
      </c>
      <c r="D621" s="118">
        <v>1</v>
      </c>
      <c r="E621" s="154">
        <v>450</v>
      </c>
      <c r="F621" s="94" t="s">
        <v>9</v>
      </c>
      <c r="G621" s="15"/>
      <c r="H621" s="118">
        <v>1</v>
      </c>
      <c r="I621" s="17">
        <v>390</v>
      </c>
      <c r="J621" s="17"/>
      <c r="K621" s="17"/>
      <c r="L621" s="419">
        <f t="shared" si="28"/>
        <v>390</v>
      </c>
      <c r="M621" s="17"/>
      <c r="N621" s="129"/>
    </row>
    <row r="622" spans="1:14" ht="14.25">
      <c r="A622" t="s">
        <v>907</v>
      </c>
      <c r="B622" s="196">
        <v>4</v>
      </c>
      <c r="C622" s="196">
        <v>2</v>
      </c>
      <c r="D622" s="118">
        <v>1</v>
      </c>
      <c r="E622" s="154">
        <v>370</v>
      </c>
      <c r="F622" s="94" t="s">
        <v>10</v>
      </c>
      <c r="G622" s="15"/>
      <c r="H622" s="118">
        <v>1</v>
      </c>
      <c r="I622" s="148">
        <v>400</v>
      </c>
      <c r="J622" s="17"/>
      <c r="K622" s="17"/>
      <c r="L622" s="419">
        <f t="shared" si="28"/>
        <v>400</v>
      </c>
      <c r="M622" s="17"/>
      <c r="N622" s="129"/>
    </row>
    <row r="623" spans="1:14" ht="14.25">
      <c r="A623" t="s">
        <v>907</v>
      </c>
      <c r="B623" s="196">
        <v>4</v>
      </c>
      <c r="C623" s="196">
        <v>2</v>
      </c>
      <c r="D623" s="118">
        <v>1</v>
      </c>
      <c r="E623" s="154">
        <v>390</v>
      </c>
      <c r="F623" s="406" t="s">
        <v>1176</v>
      </c>
      <c r="G623" s="92"/>
      <c r="H623" s="118">
        <v>998</v>
      </c>
      <c r="I623" s="148">
        <v>35.96</v>
      </c>
      <c r="J623" s="17"/>
      <c r="K623" s="17"/>
      <c r="L623" s="419">
        <f t="shared" si="28"/>
        <v>35888.08</v>
      </c>
      <c r="M623" s="17"/>
      <c r="N623" s="129"/>
    </row>
    <row r="624" spans="1:14" ht="14.25">
      <c r="A624" t="s">
        <v>907</v>
      </c>
      <c r="B624" s="196">
        <v>4</v>
      </c>
      <c r="C624" s="196">
        <v>2</v>
      </c>
      <c r="D624" s="118">
        <v>1</v>
      </c>
      <c r="E624" s="154">
        <v>400</v>
      </c>
      <c r="F624" s="14" t="s">
        <v>1010</v>
      </c>
      <c r="G624" s="92"/>
      <c r="H624" s="16">
        <v>0</v>
      </c>
      <c r="I624" s="17">
        <v>31300</v>
      </c>
      <c r="J624" s="17"/>
      <c r="K624" s="17"/>
      <c r="L624" s="419">
        <f t="shared" si="28"/>
        <v>0</v>
      </c>
      <c r="M624" s="17"/>
      <c r="N624" s="129"/>
    </row>
    <row r="625" spans="1:14" ht="14.25">
      <c r="A625" t="s">
        <v>39</v>
      </c>
      <c r="B625" s="196">
        <v>4</v>
      </c>
      <c r="C625" s="196">
        <v>2</v>
      </c>
      <c r="D625" s="118">
        <v>998</v>
      </c>
      <c r="E625" s="154">
        <v>35888.08</v>
      </c>
      <c r="F625" s="14" t="s">
        <v>1011</v>
      </c>
      <c r="G625" s="92" t="s">
        <v>649</v>
      </c>
      <c r="H625" s="16">
        <v>0</v>
      </c>
      <c r="I625" s="17">
        <v>46000</v>
      </c>
      <c r="J625" s="17"/>
      <c r="K625" s="17"/>
      <c r="L625" s="419">
        <f t="shared" si="28"/>
        <v>0</v>
      </c>
      <c r="M625" s="17"/>
      <c r="N625" s="129"/>
    </row>
    <row r="626" spans="1:14" ht="15">
      <c r="A626" t="s">
        <v>39</v>
      </c>
      <c r="B626" s="196">
        <v>4</v>
      </c>
      <c r="C626" s="196">
        <v>2</v>
      </c>
      <c r="D626" s="118">
        <v>0</v>
      </c>
      <c r="E626" s="154">
        <v>0</v>
      </c>
      <c r="F626" s="88" t="s">
        <v>1581</v>
      </c>
      <c r="G626" s="92" t="s">
        <v>721</v>
      </c>
      <c r="H626" s="16">
        <v>10</v>
      </c>
      <c r="I626" s="144">
        <v>5800</v>
      </c>
      <c r="J626" s="17"/>
      <c r="K626" s="17"/>
      <c r="L626" s="419">
        <f t="shared" si="28"/>
        <v>58000</v>
      </c>
      <c r="M626" s="17"/>
      <c r="N626" s="129"/>
    </row>
    <row r="627" spans="1:14" ht="15">
      <c r="A627" t="s">
        <v>54</v>
      </c>
      <c r="B627" s="196">
        <v>4</v>
      </c>
      <c r="C627" s="196">
        <v>2</v>
      </c>
      <c r="D627" s="118">
        <v>0</v>
      </c>
      <c r="E627" s="197">
        <v>0</v>
      </c>
      <c r="F627" s="91" t="s">
        <v>1582</v>
      </c>
      <c r="G627" s="15"/>
      <c r="H627" s="16">
        <v>24</v>
      </c>
      <c r="I627" s="144">
        <v>2450</v>
      </c>
      <c r="J627" s="17"/>
      <c r="K627" s="17"/>
      <c r="L627" s="419">
        <f t="shared" si="28"/>
        <v>58800</v>
      </c>
      <c r="M627" s="17"/>
      <c r="N627" s="129"/>
    </row>
    <row r="628" spans="1:14" ht="15">
      <c r="A628" t="s">
        <v>54</v>
      </c>
      <c r="B628" s="196">
        <v>4</v>
      </c>
      <c r="C628" s="196">
        <v>2</v>
      </c>
      <c r="D628" s="16">
        <v>10</v>
      </c>
      <c r="E628" s="197">
        <v>58000</v>
      </c>
      <c r="F628" s="551" t="s">
        <v>947</v>
      </c>
      <c r="G628" s="15"/>
      <c r="H628" s="16">
        <v>10</v>
      </c>
      <c r="I628" s="144">
        <v>193</v>
      </c>
      <c r="J628" s="12"/>
      <c r="K628" s="12"/>
      <c r="L628" s="419">
        <f t="shared" si="28"/>
        <v>1930</v>
      </c>
      <c r="M628" s="17"/>
      <c r="N628" s="129"/>
    </row>
    <row r="629" spans="1:14" ht="15">
      <c r="A629" t="s">
        <v>55</v>
      </c>
      <c r="B629" s="196">
        <v>4</v>
      </c>
      <c r="C629" s="196">
        <v>2</v>
      </c>
      <c r="D629" s="16">
        <v>10</v>
      </c>
      <c r="E629" s="197">
        <v>58200</v>
      </c>
      <c r="F629" s="94" t="s">
        <v>498</v>
      </c>
      <c r="G629" s="95" t="s">
        <v>1610</v>
      </c>
      <c r="H629" s="16">
        <v>10</v>
      </c>
      <c r="I629" s="144">
        <v>470</v>
      </c>
      <c r="J629" s="12"/>
      <c r="K629" s="12"/>
      <c r="L629" s="419">
        <f t="shared" si="28"/>
        <v>4700</v>
      </c>
      <c r="M629" s="17"/>
      <c r="N629" s="129"/>
    </row>
    <row r="630" spans="1:14" ht="15">
      <c r="A630" t="s">
        <v>55</v>
      </c>
      <c r="B630" s="196">
        <v>4</v>
      </c>
      <c r="C630" s="196">
        <v>2</v>
      </c>
      <c r="D630" s="16">
        <v>10</v>
      </c>
      <c r="E630" s="197">
        <v>1930</v>
      </c>
      <c r="F630" s="86" t="s">
        <v>488</v>
      </c>
      <c r="G630" s="95" t="s">
        <v>1610</v>
      </c>
      <c r="H630" s="16">
        <v>10</v>
      </c>
      <c r="I630" s="144">
        <v>380</v>
      </c>
      <c r="J630" s="12"/>
      <c r="K630" s="12"/>
      <c r="L630" s="419">
        <f t="shared" si="28"/>
        <v>3800</v>
      </c>
      <c r="M630" s="17"/>
      <c r="N630" s="129"/>
    </row>
    <row r="631" spans="1:14" ht="15">
      <c r="A631" t="s">
        <v>55</v>
      </c>
      <c r="B631" s="196">
        <v>4</v>
      </c>
      <c r="C631" s="196">
        <v>2</v>
      </c>
      <c r="D631" s="16">
        <v>10</v>
      </c>
      <c r="E631" s="197">
        <v>4700</v>
      </c>
      <c r="F631" s="94" t="s">
        <v>496</v>
      </c>
      <c r="G631" s="95" t="s">
        <v>1610</v>
      </c>
      <c r="H631" s="16">
        <v>10</v>
      </c>
      <c r="I631" s="144">
        <v>430</v>
      </c>
      <c r="J631" s="12"/>
      <c r="K631" s="12"/>
      <c r="L631" s="419">
        <f t="shared" si="28"/>
        <v>4300</v>
      </c>
      <c r="M631" s="17"/>
      <c r="N631" s="129"/>
    </row>
    <row r="632" spans="1:14" ht="15">
      <c r="A632" t="s">
        <v>55</v>
      </c>
      <c r="B632" s="196">
        <v>4</v>
      </c>
      <c r="C632" s="196">
        <v>2</v>
      </c>
      <c r="D632" s="16">
        <v>10</v>
      </c>
      <c r="E632" s="197">
        <v>3800</v>
      </c>
      <c r="F632" s="86" t="s">
        <v>499</v>
      </c>
      <c r="G632" s="95" t="s">
        <v>1610</v>
      </c>
      <c r="H632" s="16">
        <v>10</v>
      </c>
      <c r="I632" s="144">
        <v>420</v>
      </c>
      <c r="J632" s="12"/>
      <c r="K632" s="12"/>
      <c r="L632" s="419">
        <f t="shared" si="28"/>
        <v>4200</v>
      </c>
      <c r="M632" s="17"/>
      <c r="N632" s="129"/>
    </row>
    <row r="633" spans="1:14" ht="15">
      <c r="A633" t="s">
        <v>55</v>
      </c>
      <c r="B633" s="196">
        <v>4</v>
      </c>
      <c r="C633" s="196">
        <v>2</v>
      </c>
      <c r="D633" s="16">
        <v>10</v>
      </c>
      <c r="E633" s="221">
        <v>4300</v>
      </c>
      <c r="F633" s="94" t="s">
        <v>489</v>
      </c>
      <c r="G633" s="95" t="s">
        <v>1610</v>
      </c>
      <c r="H633" s="16">
        <v>10</v>
      </c>
      <c r="I633" s="144">
        <v>400</v>
      </c>
      <c r="J633" s="12"/>
      <c r="K633" s="12"/>
      <c r="L633" s="419">
        <f t="shared" si="28"/>
        <v>4000</v>
      </c>
      <c r="M633" s="17"/>
      <c r="N633" s="129"/>
    </row>
    <row r="634" spans="1:14" ht="15">
      <c r="A634" t="s">
        <v>55</v>
      </c>
      <c r="B634" s="196">
        <v>4</v>
      </c>
      <c r="C634" s="196">
        <v>2</v>
      </c>
      <c r="D634" s="16">
        <v>10</v>
      </c>
      <c r="E634" s="221">
        <v>4200</v>
      </c>
      <c r="F634" s="94" t="s">
        <v>497</v>
      </c>
      <c r="G634" s="95" t="s">
        <v>1610</v>
      </c>
      <c r="H634" s="16">
        <v>10</v>
      </c>
      <c r="I634" s="144">
        <v>395</v>
      </c>
      <c r="J634" s="12"/>
      <c r="K634" s="12"/>
      <c r="L634" s="419">
        <f t="shared" si="28"/>
        <v>3950</v>
      </c>
      <c r="M634" s="17"/>
      <c r="N634" s="129"/>
    </row>
    <row r="635" spans="1:14" ht="15">
      <c r="A635" t="s">
        <v>55</v>
      </c>
      <c r="B635" s="196">
        <v>4</v>
      </c>
      <c r="C635" s="196">
        <v>2</v>
      </c>
      <c r="D635" s="16">
        <v>10</v>
      </c>
      <c r="E635" s="221">
        <v>4000</v>
      </c>
      <c r="F635" s="94" t="s">
        <v>500</v>
      </c>
      <c r="G635" s="95" t="s">
        <v>1610</v>
      </c>
      <c r="H635" s="16">
        <v>10</v>
      </c>
      <c r="I635" s="144">
        <v>390</v>
      </c>
      <c r="J635" s="12"/>
      <c r="K635" s="12"/>
      <c r="L635" s="419">
        <f t="shared" si="28"/>
        <v>3900</v>
      </c>
      <c r="M635" s="17"/>
      <c r="N635" s="129"/>
    </row>
    <row r="636" spans="1:14" ht="15">
      <c r="A636" t="s">
        <v>55</v>
      </c>
      <c r="B636" s="196">
        <v>4</v>
      </c>
      <c r="C636" s="196">
        <v>2</v>
      </c>
      <c r="D636" s="16">
        <v>10</v>
      </c>
      <c r="E636" s="221">
        <v>3950</v>
      </c>
      <c r="F636" s="94" t="s">
        <v>490</v>
      </c>
      <c r="G636" s="95" t="s">
        <v>1610</v>
      </c>
      <c r="H636" s="16">
        <v>10</v>
      </c>
      <c r="I636" s="144">
        <v>700</v>
      </c>
      <c r="J636" s="12"/>
      <c r="K636" s="12"/>
      <c r="L636" s="419">
        <f t="shared" si="28"/>
        <v>7000</v>
      </c>
      <c r="M636" s="17"/>
      <c r="N636" s="129"/>
    </row>
    <row r="637" spans="1:14" ht="15">
      <c r="A637" t="s">
        <v>55</v>
      </c>
      <c r="B637" s="196">
        <v>4</v>
      </c>
      <c r="C637" s="196">
        <v>2</v>
      </c>
      <c r="D637" s="16">
        <v>10</v>
      </c>
      <c r="E637" s="221">
        <v>3900</v>
      </c>
      <c r="F637" s="86" t="s">
        <v>493</v>
      </c>
      <c r="G637" s="95" t="s">
        <v>1610</v>
      </c>
      <c r="H637" s="16">
        <v>10</v>
      </c>
      <c r="I637" s="144">
        <v>700</v>
      </c>
      <c r="J637" s="12"/>
      <c r="K637" s="12"/>
      <c r="L637" s="419">
        <f t="shared" si="28"/>
        <v>7000</v>
      </c>
      <c r="M637" s="17"/>
      <c r="N637" s="129"/>
    </row>
    <row r="638" spans="1:14" ht="15">
      <c r="A638" t="s">
        <v>55</v>
      </c>
      <c r="B638" s="196">
        <v>4</v>
      </c>
      <c r="C638" s="196">
        <v>2</v>
      </c>
      <c r="D638" s="16">
        <v>10</v>
      </c>
      <c r="E638" s="221">
        <v>7000</v>
      </c>
      <c r="F638" s="94" t="s">
        <v>487</v>
      </c>
      <c r="G638" s="95" t="s">
        <v>1610</v>
      </c>
      <c r="H638" s="16">
        <v>10</v>
      </c>
      <c r="I638" s="144">
        <v>700</v>
      </c>
      <c r="J638" s="12"/>
      <c r="K638" s="12"/>
      <c r="L638" s="419">
        <f t="shared" si="28"/>
        <v>7000</v>
      </c>
      <c r="M638" s="17"/>
      <c r="N638" s="129"/>
    </row>
    <row r="639" spans="1:14" ht="15">
      <c r="A639" t="s">
        <v>55</v>
      </c>
      <c r="B639" s="196">
        <v>4</v>
      </c>
      <c r="C639" s="196">
        <v>2</v>
      </c>
      <c r="D639" s="16">
        <v>10</v>
      </c>
      <c r="E639" s="221">
        <v>7000</v>
      </c>
      <c r="F639" s="94" t="s">
        <v>486</v>
      </c>
      <c r="G639" s="95" t="s">
        <v>1610</v>
      </c>
      <c r="H639" s="16">
        <v>10</v>
      </c>
      <c r="I639" s="144">
        <v>3030</v>
      </c>
      <c r="J639" s="12"/>
      <c r="K639" s="12"/>
      <c r="L639" s="419">
        <f t="shared" si="28"/>
        <v>30300</v>
      </c>
      <c r="M639" s="17"/>
      <c r="N639" s="129"/>
    </row>
    <row r="640" spans="1:14" ht="15">
      <c r="A640" t="s">
        <v>55</v>
      </c>
      <c r="B640" s="196">
        <v>4</v>
      </c>
      <c r="C640" s="196">
        <v>2</v>
      </c>
      <c r="D640" s="16">
        <v>10</v>
      </c>
      <c r="E640" s="221">
        <v>7000</v>
      </c>
      <c r="F640" s="94" t="s">
        <v>484</v>
      </c>
      <c r="G640" s="95" t="s">
        <v>1610</v>
      </c>
      <c r="H640" s="16">
        <v>10</v>
      </c>
      <c r="I640" s="144">
        <v>3030</v>
      </c>
      <c r="J640" s="12"/>
      <c r="K640" s="12"/>
      <c r="L640" s="419">
        <f t="shared" si="28"/>
        <v>30300</v>
      </c>
      <c r="M640" s="17"/>
      <c r="N640" s="129"/>
    </row>
    <row r="641" spans="1:14" ht="15">
      <c r="A641" t="s">
        <v>55</v>
      </c>
      <c r="B641" s="196">
        <v>4</v>
      </c>
      <c r="C641" s="196">
        <v>2</v>
      </c>
      <c r="D641" s="16">
        <v>10</v>
      </c>
      <c r="E641" s="221">
        <v>30300</v>
      </c>
      <c r="F641" s="94" t="s">
        <v>491</v>
      </c>
      <c r="G641" s="95" t="s">
        <v>1610</v>
      </c>
      <c r="H641" s="16">
        <v>10</v>
      </c>
      <c r="I641" s="144">
        <v>1620</v>
      </c>
      <c r="J641" s="12"/>
      <c r="K641" s="12"/>
      <c r="L641" s="419">
        <f aca="true" t="shared" si="29" ref="L641:L670">(H641*I641)</f>
        <v>16200</v>
      </c>
      <c r="M641" s="17"/>
      <c r="N641" s="129"/>
    </row>
    <row r="642" spans="1:14" ht="15">
      <c r="A642" t="s">
        <v>55</v>
      </c>
      <c r="B642" s="196">
        <v>4</v>
      </c>
      <c r="C642" s="196">
        <v>2</v>
      </c>
      <c r="D642" s="16">
        <v>10</v>
      </c>
      <c r="E642" s="221">
        <v>30300</v>
      </c>
      <c r="F642" s="94" t="s">
        <v>494</v>
      </c>
      <c r="G642" s="95" t="s">
        <v>1610</v>
      </c>
      <c r="H642" s="16">
        <v>10</v>
      </c>
      <c r="I642" s="144">
        <v>1620</v>
      </c>
      <c r="J642" s="12"/>
      <c r="K642" s="12"/>
      <c r="L642" s="419">
        <f t="shared" si="29"/>
        <v>16200</v>
      </c>
      <c r="M642" s="17"/>
      <c r="N642" s="129"/>
    </row>
    <row r="643" spans="1:14" ht="15">
      <c r="A643" t="s">
        <v>55</v>
      </c>
      <c r="B643" s="196">
        <v>4</v>
      </c>
      <c r="C643" s="196">
        <v>2</v>
      </c>
      <c r="D643" s="16">
        <v>10</v>
      </c>
      <c r="E643" s="221">
        <v>16200</v>
      </c>
      <c r="F643" s="94" t="s">
        <v>485</v>
      </c>
      <c r="G643" s="87" t="s">
        <v>1610</v>
      </c>
      <c r="H643" s="16">
        <v>10</v>
      </c>
      <c r="I643" s="144">
        <v>6140</v>
      </c>
      <c r="J643" s="12"/>
      <c r="K643" s="12"/>
      <c r="L643" s="419">
        <f t="shared" si="29"/>
        <v>61400</v>
      </c>
      <c r="M643" s="17"/>
      <c r="N643" s="129"/>
    </row>
    <row r="644" spans="1:14" ht="15">
      <c r="A644" t="s">
        <v>55</v>
      </c>
      <c r="B644" s="196">
        <v>4</v>
      </c>
      <c r="C644" s="196">
        <v>2</v>
      </c>
      <c r="D644" s="16">
        <v>10</v>
      </c>
      <c r="E644" s="197">
        <v>16200</v>
      </c>
      <c r="F644" s="94" t="s">
        <v>492</v>
      </c>
      <c r="G644" s="87" t="s">
        <v>1610</v>
      </c>
      <c r="H644" s="16">
        <v>10</v>
      </c>
      <c r="I644" s="144">
        <v>6160</v>
      </c>
      <c r="J644" s="12"/>
      <c r="K644" s="12"/>
      <c r="L644" s="419">
        <f t="shared" si="29"/>
        <v>61600</v>
      </c>
      <c r="M644" s="17"/>
      <c r="N644" s="129"/>
    </row>
    <row r="645" spans="1:14" ht="15">
      <c r="A645" t="s">
        <v>55</v>
      </c>
      <c r="B645" s="196">
        <v>4</v>
      </c>
      <c r="C645" s="196">
        <v>2</v>
      </c>
      <c r="D645" s="16">
        <v>10</v>
      </c>
      <c r="E645" s="197">
        <v>61400</v>
      </c>
      <c r="F645" s="94" t="s">
        <v>495</v>
      </c>
      <c r="G645" s="87" t="s">
        <v>1610</v>
      </c>
      <c r="H645" s="16">
        <v>10</v>
      </c>
      <c r="I645" s="144">
        <v>6180</v>
      </c>
      <c r="J645" s="12"/>
      <c r="K645" s="12"/>
      <c r="L645" s="419">
        <f t="shared" si="29"/>
        <v>61800</v>
      </c>
      <c r="M645" s="17"/>
      <c r="N645" s="129"/>
    </row>
    <row r="646" spans="1:14" ht="15">
      <c r="A646" t="s">
        <v>55</v>
      </c>
      <c r="B646" s="196">
        <v>4</v>
      </c>
      <c r="C646" s="196">
        <v>2</v>
      </c>
      <c r="D646" s="16">
        <v>10</v>
      </c>
      <c r="E646" s="197">
        <v>61600</v>
      </c>
      <c r="F646" s="94" t="s">
        <v>309</v>
      </c>
      <c r="G646" s="87" t="s">
        <v>1610</v>
      </c>
      <c r="H646" s="16">
        <v>10</v>
      </c>
      <c r="I646" s="144">
        <v>6200</v>
      </c>
      <c r="J646" s="12"/>
      <c r="K646" s="12"/>
      <c r="L646" s="419">
        <f t="shared" si="29"/>
        <v>62000</v>
      </c>
      <c r="M646" s="17"/>
      <c r="N646" s="129"/>
    </row>
    <row r="647" spans="1:14" ht="15">
      <c r="A647" t="s">
        <v>55</v>
      </c>
      <c r="B647" s="196">
        <v>4</v>
      </c>
      <c r="C647" s="196">
        <v>2</v>
      </c>
      <c r="D647" s="16">
        <v>10</v>
      </c>
      <c r="E647" s="197">
        <v>61800</v>
      </c>
      <c r="F647" s="94" t="s">
        <v>308</v>
      </c>
      <c r="G647" s="87" t="s">
        <v>1610</v>
      </c>
      <c r="H647" s="16">
        <v>10</v>
      </c>
      <c r="I647" s="144">
        <v>6240</v>
      </c>
      <c r="J647" s="12"/>
      <c r="K647" s="12"/>
      <c r="L647" s="419">
        <f t="shared" si="29"/>
        <v>62400</v>
      </c>
      <c r="M647" s="17"/>
      <c r="N647" s="129"/>
    </row>
    <row r="648" spans="1:14" ht="15">
      <c r="A648" t="s">
        <v>55</v>
      </c>
      <c r="B648" s="196">
        <v>4</v>
      </c>
      <c r="C648" s="196">
        <v>2</v>
      </c>
      <c r="D648" s="16">
        <v>10</v>
      </c>
      <c r="E648" s="197">
        <v>62000</v>
      </c>
      <c r="F648" s="94" t="s">
        <v>307</v>
      </c>
      <c r="G648" s="87" t="s">
        <v>1610</v>
      </c>
      <c r="H648" s="16">
        <v>10</v>
      </c>
      <c r="I648" s="144">
        <v>6240</v>
      </c>
      <c r="J648" s="12"/>
      <c r="K648" s="12"/>
      <c r="L648" s="419">
        <f t="shared" si="29"/>
        <v>62400</v>
      </c>
      <c r="M648" s="17"/>
      <c r="N648" s="129"/>
    </row>
    <row r="649" spans="1:14" ht="15">
      <c r="A649" t="s">
        <v>55</v>
      </c>
      <c r="B649" s="196">
        <v>4</v>
      </c>
      <c r="C649" s="196">
        <v>2</v>
      </c>
      <c r="D649" s="16">
        <v>10</v>
      </c>
      <c r="E649" s="197">
        <v>62400</v>
      </c>
      <c r="F649" s="94" t="s">
        <v>501</v>
      </c>
      <c r="G649" s="87" t="s">
        <v>1610</v>
      </c>
      <c r="H649" s="16">
        <v>10</v>
      </c>
      <c r="I649" s="144">
        <v>6260</v>
      </c>
      <c r="J649" s="12"/>
      <c r="K649" s="12"/>
      <c r="L649" s="419">
        <f t="shared" si="29"/>
        <v>62600</v>
      </c>
      <c r="M649" s="17"/>
      <c r="N649" s="129"/>
    </row>
    <row r="650" spans="1:14" ht="15">
      <c r="A650" t="s">
        <v>55</v>
      </c>
      <c r="B650" s="196">
        <v>4</v>
      </c>
      <c r="C650" s="196">
        <v>2</v>
      </c>
      <c r="D650" s="16">
        <v>10</v>
      </c>
      <c r="E650" s="197">
        <v>62400</v>
      </c>
      <c r="F650" s="94" t="s">
        <v>271</v>
      </c>
      <c r="G650" s="95" t="s">
        <v>1610</v>
      </c>
      <c r="H650" s="16">
        <v>10</v>
      </c>
      <c r="I650" s="144">
        <v>6280</v>
      </c>
      <c r="J650" s="17"/>
      <c r="K650" s="17"/>
      <c r="L650" s="419">
        <f t="shared" si="29"/>
        <v>62800</v>
      </c>
      <c r="M650" s="17"/>
      <c r="N650" s="129"/>
    </row>
    <row r="651" spans="1:14" ht="15">
      <c r="A651" s="404" t="s">
        <v>56</v>
      </c>
      <c r="B651" s="196">
        <v>4</v>
      </c>
      <c r="C651" s="196">
        <v>2</v>
      </c>
      <c r="D651" s="16">
        <v>10</v>
      </c>
      <c r="E651" s="197">
        <v>62600</v>
      </c>
      <c r="F651" s="97" t="s">
        <v>1439</v>
      </c>
      <c r="G651" s="95" t="s">
        <v>1541</v>
      </c>
      <c r="H651" s="16">
        <v>10</v>
      </c>
      <c r="I651" s="144">
        <v>6300</v>
      </c>
      <c r="J651" s="17"/>
      <c r="K651" s="17"/>
      <c r="L651" s="419">
        <f t="shared" si="29"/>
        <v>63000</v>
      </c>
      <c r="M651" s="17"/>
      <c r="N651" s="129"/>
    </row>
    <row r="652" spans="1:14" ht="15">
      <c r="A652" t="s">
        <v>57</v>
      </c>
      <c r="B652" s="196">
        <v>4</v>
      </c>
      <c r="C652" s="196">
        <v>2</v>
      </c>
      <c r="D652" s="16">
        <v>10</v>
      </c>
      <c r="E652" s="197">
        <v>62800</v>
      </c>
      <c r="F652" s="97" t="s">
        <v>1440</v>
      </c>
      <c r="G652" s="15"/>
      <c r="H652" s="16">
        <v>10</v>
      </c>
      <c r="I652" s="144">
        <v>6320</v>
      </c>
      <c r="J652" s="17"/>
      <c r="K652" s="17"/>
      <c r="L652" s="419">
        <f t="shared" si="29"/>
        <v>63200</v>
      </c>
      <c r="M652" s="17"/>
      <c r="N652" s="129"/>
    </row>
    <row r="653" spans="1:14" ht="15">
      <c r="A653" t="s">
        <v>57</v>
      </c>
      <c r="B653" s="196">
        <v>4</v>
      </c>
      <c r="C653" s="196">
        <v>2</v>
      </c>
      <c r="D653" s="16">
        <v>10</v>
      </c>
      <c r="E653" s="197">
        <v>63000</v>
      </c>
      <c r="F653" s="97" t="s">
        <v>1438</v>
      </c>
      <c r="G653" s="15"/>
      <c r="H653" s="16">
        <v>10</v>
      </c>
      <c r="I653" s="144">
        <v>6340</v>
      </c>
      <c r="J653" s="17"/>
      <c r="K653" s="17"/>
      <c r="L653" s="419">
        <f t="shared" si="29"/>
        <v>63400</v>
      </c>
      <c r="M653" s="17"/>
      <c r="N653" s="129"/>
    </row>
    <row r="654" spans="1:14" ht="15">
      <c r="A654" t="s">
        <v>57</v>
      </c>
      <c r="B654" s="196">
        <v>4</v>
      </c>
      <c r="C654" s="196">
        <v>2</v>
      </c>
      <c r="D654" s="16">
        <v>10</v>
      </c>
      <c r="E654" s="197">
        <v>63200</v>
      </c>
      <c r="F654" s="97" t="s">
        <v>1437</v>
      </c>
      <c r="G654" s="15"/>
      <c r="H654" s="16">
        <v>10</v>
      </c>
      <c r="I654" s="144">
        <v>6360</v>
      </c>
      <c r="J654" s="17"/>
      <c r="K654" s="17"/>
      <c r="L654" s="419">
        <f t="shared" si="29"/>
        <v>63600</v>
      </c>
      <c r="M654" s="17"/>
      <c r="N654" s="129"/>
    </row>
    <row r="655" spans="1:14" ht="15">
      <c r="A655" t="s">
        <v>57</v>
      </c>
      <c r="B655" s="196">
        <v>4</v>
      </c>
      <c r="C655" s="196">
        <v>2</v>
      </c>
      <c r="D655" s="16">
        <v>10</v>
      </c>
      <c r="E655" s="197">
        <v>63400</v>
      </c>
      <c r="F655" s="97" t="s">
        <v>1441</v>
      </c>
      <c r="G655" s="15"/>
      <c r="H655" s="16">
        <v>10</v>
      </c>
      <c r="I655" s="144">
        <v>6380</v>
      </c>
      <c r="J655" s="17"/>
      <c r="K655" s="17"/>
      <c r="L655" s="419">
        <f t="shared" si="29"/>
        <v>63800</v>
      </c>
      <c r="M655" s="17"/>
      <c r="N655" s="129"/>
    </row>
    <row r="656" spans="1:14" ht="15">
      <c r="A656" t="s">
        <v>57</v>
      </c>
      <c r="B656" s="196">
        <v>4</v>
      </c>
      <c r="C656" s="196">
        <v>2</v>
      </c>
      <c r="D656" s="16">
        <v>10</v>
      </c>
      <c r="E656" s="197">
        <v>63600</v>
      </c>
      <c r="F656" s="97" t="s">
        <v>1442</v>
      </c>
      <c r="G656" s="15"/>
      <c r="H656" s="16">
        <v>10</v>
      </c>
      <c r="I656" s="125">
        <v>6400</v>
      </c>
      <c r="J656" s="17"/>
      <c r="K656" s="17"/>
      <c r="L656" s="419">
        <f t="shared" si="29"/>
        <v>64000</v>
      </c>
      <c r="M656" s="17"/>
      <c r="N656" s="129"/>
    </row>
    <row r="657" spans="1:14" ht="15">
      <c r="A657" t="s">
        <v>57</v>
      </c>
      <c r="B657" s="196">
        <v>4</v>
      </c>
      <c r="C657" s="196">
        <v>2</v>
      </c>
      <c r="D657" s="16">
        <v>10</v>
      </c>
      <c r="E657" s="197">
        <v>63800</v>
      </c>
      <c r="F657" s="97" t="s">
        <v>1447</v>
      </c>
      <c r="G657" s="15"/>
      <c r="H657" s="16">
        <v>10</v>
      </c>
      <c r="I657" s="125">
        <v>6420</v>
      </c>
      <c r="J657" s="17"/>
      <c r="K657" s="17"/>
      <c r="L657" s="419">
        <f t="shared" si="29"/>
        <v>64200</v>
      </c>
      <c r="M657" s="17"/>
      <c r="N657" s="129"/>
    </row>
    <row r="658" spans="1:14" ht="14.25">
      <c r="A658" t="s">
        <v>57</v>
      </c>
      <c r="B658" s="196">
        <v>4</v>
      </c>
      <c r="C658" s="196">
        <v>2</v>
      </c>
      <c r="D658" s="118">
        <v>5</v>
      </c>
      <c r="E658" s="197">
        <v>2428</v>
      </c>
      <c r="F658" s="603" t="s">
        <v>948</v>
      </c>
      <c r="G658" s="15" t="s">
        <v>649</v>
      </c>
      <c r="H658" s="16">
        <v>50</v>
      </c>
      <c r="I658" s="143">
        <v>839.84</v>
      </c>
      <c r="J658" s="17"/>
      <c r="K658" s="17"/>
      <c r="L658" s="419">
        <f t="shared" si="29"/>
        <v>41992</v>
      </c>
      <c r="M658" s="17"/>
      <c r="N658" s="129"/>
    </row>
    <row r="659" spans="1:14" ht="15">
      <c r="A659" t="s">
        <v>57</v>
      </c>
      <c r="B659" s="196">
        <v>4</v>
      </c>
      <c r="C659" s="196">
        <v>2</v>
      </c>
      <c r="D659" s="16">
        <v>10</v>
      </c>
      <c r="E659" s="197">
        <v>64000</v>
      </c>
      <c r="F659" s="14" t="s">
        <v>1013</v>
      </c>
      <c r="G659" s="15"/>
      <c r="H659" s="16">
        <v>10</v>
      </c>
      <c r="I659" s="125">
        <v>150</v>
      </c>
      <c r="J659" s="17"/>
      <c r="K659" s="17"/>
      <c r="L659" s="419">
        <f t="shared" si="29"/>
        <v>1500</v>
      </c>
      <c r="M659" s="17"/>
      <c r="N659" s="129"/>
    </row>
    <row r="660" spans="1:14" ht="14.25">
      <c r="A660" t="s">
        <v>57</v>
      </c>
      <c r="B660" s="196">
        <v>4</v>
      </c>
      <c r="C660" s="196">
        <v>2</v>
      </c>
      <c r="D660" s="118">
        <v>10</v>
      </c>
      <c r="E660" s="197">
        <v>1500</v>
      </c>
      <c r="F660" s="14" t="s">
        <v>1046</v>
      </c>
      <c r="G660" s="15" t="s">
        <v>649</v>
      </c>
      <c r="H660" s="16">
        <v>50</v>
      </c>
      <c r="I660" s="143">
        <v>4500</v>
      </c>
      <c r="J660" s="17"/>
      <c r="K660" s="17"/>
      <c r="L660" s="419">
        <f t="shared" si="29"/>
        <v>225000</v>
      </c>
      <c r="M660" s="17"/>
      <c r="N660" s="129"/>
    </row>
    <row r="661" spans="1:14" ht="14.25">
      <c r="A661" t="s">
        <v>57</v>
      </c>
      <c r="B661" s="196">
        <v>4</v>
      </c>
      <c r="C661" s="196">
        <v>2</v>
      </c>
      <c r="D661" s="16">
        <v>10</v>
      </c>
      <c r="E661" s="197">
        <v>64200</v>
      </c>
      <c r="F661" s="605" t="s">
        <v>1382</v>
      </c>
      <c r="G661" s="15" t="s">
        <v>649</v>
      </c>
      <c r="H661" s="16">
        <v>5</v>
      </c>
      <c r="I661" s="143">
        <v>485.6</v>
      </c>
      <c r="J661" s="17"/>
      <c r="K661" s="17"/>
      <c r="L661" s="419">
        <f t="shared" si="29"/>
        <v>2428</v>
      </c>
      <c r="M661" s="17"/>
      <c r="N661" s="129"/>
    </row>
    <row r="662" spans="1:14" ht="14.25">
      <c r="A662" t="s">
        <v>57</v>
      </c>
      <c r="B662" s="196">
        <v>4</v>
      </c>
      <c r="C662" s="196">
        <v>2</v>
      </c>
      <c r="D662" s="118">
        <v>125</v>
      </c>
      <c r="E662" s="197">
        <v>50750</v>
      </c>
      <c r="F662" s="14" t="s">
        <v>1340</v>
      </c>
      <c r="G662" s="15" t="s">
        <v>649</v>
      </c>
      <c r="H662" s="16">
        <v>200</v>
      </c>
      <c r="I662" s="143">
        <f>650*1.16</f>
        <v>754</v>
      </c>
      <c r="J662" s="17"/>
      <c r="K662" s="17"/>
      <c r="L662" s="419">
        <f t="shared" si="29"/>
        <v>150800</v>
      </c>
      <c r="M662" s="17"/>
      <c r="N662" s="129"/>
    </row>
    <row r="663" spans="2:14" ht="14.25">
      <c r="B663" s="196">
        <v>4</v>
      </c>
      <c r="C663" s="196">
        <v>2</v>
      </c>
      <c r="D663" s="118">
        <v>50</v>
      </c>
      <c r="E663" s="197">
        <v>41992</v>
      </c>
      <c r="F663" s="14" t="s">
        <v>1014</v>
      </c>
      <c r="G663" s="15"/>
      <c r="H663" s="16">
        <v>20</v>
      </c>
      <c r="I663" s="544">
        <v>8900</v>
      </c>
      <c r="J663" s="17"/>
      <c r="K663" s="17"/>
      <c r="L663" s="419">
        <f t="shared" si="29"/>
        <v>178000</v>
      </c>
      <c r="M663" s="17"/>
      <c r="N663" s="129"/>
    </row>
    <row r="664" spans="1:14" ht="14.25">
      <c r="A664" t="s">
        <v>57</v>
      </c>
      <c r="B664" s="196"/>
      <c r="C664" s="196"/>
      <c r="D664" s="118"/>
      <c r="E664" s="197"/>
      <c r="F664" s="551" t="s">
        <v>949</v>
      </c>
      <c r="G664" s="15" t="s">
        <v>649</v>
      </c>
      <c r="H664" s="16">
        <v>5</v>
      </c>
      <c r="I664" s="143">
        <v>18000</v>
      </c>
      <c r="J664" s="17"/>
      <c r="K664" s="17"/>
      <c r="L664" s="419">
        <f t="shared" si="29"/>
        <v>90000</v>
      </c>
      <c r="M664" s="17"/>
      <c r="N664" s="129"/>
    </row>
    <row r="665" spans="1:14" ht="14.25">
      <c r="A665" t="s">
        <v>39</v>
      </c>
      <c r="B665" s="196">
        <v>4</v>
      </c>
      <c r="C665" s="196">
        <v>2</v>
      </c>
      <c r="D665" s="118">
        <v>10</v>
      </c>
      <c r="E665" s="197">
        <v>120640</v>
      </c>
      <c r="F665" s="400" t="s">
        <v>759</v>
      </c>
      <c r="G665" s="15" t="s">
        <v>649</v>
      </c>
      <c r="H665" s="16">
        <v>1</v>
      </c>
      <c r="I665" s="143">
        <v>53360</v>
      </c>
      <c r="J665" s="17"/>
      <c r="K665" s="17"/>
      <c r="L665" s="419">
        <f t="shared" si="29"/>
        <v>53360</v>
      </c>
      <c r="M665" s="17"/>
      <c r="N665" s="129"/>
    </row>
    <row r="666" spans="1:14" ht="14.25">
      <c r="A666" t="s">
        <v>758</v>
      </c>
      <c r="B666" s="196">
        <v>4</v>
      </c>
      <c r="C666" s="196">
        <v>2</v>
      </c>
      <c r="D666" s="118">
        <v>5</v>
      </c>
      <c r="E666" s="197">
        <v>90000</v>
      </c>
      <c r="F666" s="14" t="s">
        <v>1103</v>
      </c>
      <c r="G666" s="15" t="s">
        <v>721</v>
      </c>
      <c r="H666" s="534">
        <v>20</v>
      </c>
      <c r="I666" s="544">
        <v>7290</v>
      </c>
      <c r="J666" s="17"/>
      <c r="K666" s="17"/>
      <c r="L666" s="419">
        <f t="shared" si="29"/>
        <v>145800</v>
      </c>
      <c r="M666" s="17"/>
      <c r="N666" s="129"/>
    </row>
    <row r="667" spans="1:14" ht="14.25">
      <c r="A667" s="404" t="s">
        <v>29</v>
      </c>
      <c r="B667" s="196">
        <v>4</v>
      </c>
      <c r="C667" s="196">
        <v>2</v>
      </c>
      <c r="D667" s="118">
        <v>1</v>
      </c>
      <c r="E667" s="197">
        <v>53360</v>
      </c>
      <c r="F667" s="564" t="s">
        <v>327</v>
      </c>
      <c r="G667" s="533" t="s">
        <v>509</v>
      </c>
      <c r="H667" s="534">
        <v>2</v>
      </c>
      <c r="I667" s="544">
        <v>8500</v>
      </c>
      <c r="J667" s="17"/>
      <c r="K667" s="17"/>
      <c r="L667" s="419">
        <f t="shared" si="29"/>
        <v>17000</v>
      </c>
      <c r="M667" s="17"/>
      <c r="N667" s="129"/>
    </row>
    <row r="668" spans="1:14" ht="14.25">
      <c r="A668" s="404" t="s">
        <v>1368</v>
      </c>
      <c r="B668" s="196">
        <v>4</v>
      </c>
      <c r="C668" s="196">
        <v>2</v>
      </c>
      <c r="D668" s="118">
        <v>20</v>
      </c>
      <c r="E668" s="197">
        <v>104000</v>
      </c>
      <c r="F668" s="564" t="s">
        <v>328</v>
      </c>
      <c r="G668" s="533" t="s">
        <v>1631</v>
      </c>
      <c r="H668" s="534">
        <v>6</v>
      </c>
      <c r="I668" s="544">
        <v>46980</v>
      </c>
      <c r="J668" s="17"/>
      <c r="K668" s="17"/>
      <c r="L668" s="419">
        <f t="shared" si="29"/>
        <v>281880</v>
      </c>
      <c r="M668" s="17"/>
      <c r="N668" s="129"/>
    </row>
    <row r="669" spans="1:14" ht="15">
      <c r="A669" t="s">
        <v>58</v>
      </c>
      <c r="B669" s="196">
        <v>4</v>
      </c>
      <c r="C669" s="196">
        <v>2</v>
      </c>
      <c r="D669" s="118">
        <v>30</v>
      </c>
      <c r="E669" s="197">
        <v>405000</v>
      </c>
      <c r="F669" s="592" t="s">
        <v>1665</v>
      </c>
      <c r="G669" s="617" t="s">
        <v>1610</v>
      </c>
      <c r="H669" s="176">
        <v>6</v>
      </c>
      <c r="I669" s="143">
        <v>66816</v>
      </c>
      <c r="J669" s="17"/>
      <c r="K669" s="17"/>
      <c r="L669" s="419">
        <f t="shared" si="29"/>
        <v>400896</v>
      </c>
      <c r="M669" s="17"/>
      <c r="N669" s="129"/>
    </row>
    <row r="670" spans="1:14" ht="15">
      <c r="A670" s="404" t="s">
        <v>125</v>
      </c>
      <c r="B670" s="196"/>
      <c r="C670" s="196"/>
      <c r="D670" s="118"/>
      <c r="E670" s="197"/>
      <c r="F670" s="608" t="s">
        <v>329</v>
      </c>
      <c r="G670" s="296" t="s">
        <v>509</v>
      </c>
      <c r="H670" s="176">
        <v>10</v>
      </c>
      <c r="I670" s="143">
        <v>70945.6</v>
      </c>
      <c r="J670" s="17"/>
      <c r="K670" s="17"/>
      <c r="L670" s="419">
        <f t="shared" si="29"/>
        <v>709456</v>
      </c>
      <c r="M670" s="17"/>
      <c r="N670" s="129"/>
    </row>
    <row r="671" spans="1:14" ht="14.25">
      <c r="A671" t="s">
        <v>58</v>
      </c>
      <c r="B671" s="196">
        <v>4</v>
      </c>
      <c r="C671" s="196">
        <v>2</v>
      </c>
      <c r="D671" s="118">
        <v>10</v>
      </c>
      <c r="E671" s="197">
        <v>709456</v>
      </c>
      <c r="F671" s="86" t="s">
        <v>272</v>
      </c>
      <c r="G671" s="95"/>
      <c r="H671" s="16"/>
      <c r="I671" s="143"/>
      <c r="J671" s="17"/>
      <c r="K671" s="17"/>
      <c r="L671" s="419"/>
      <c r="M671" s="17"/>
      <c r="N671" s="129"/>
    </row>
    <row r="672" spans="1:14" ht="14.25">
      <c r="A672" s="404" t="s">
        <v>56</v>
      </c>
      <c r="B672" s="196">
        <v>4</v>
      </c>
      <c r="C672" s="196">
        <v>2</v>
      </c>
      <c r="D672" s="118">
        <v>6</v>
      </c>
      <c r="E672" s="197">
        <v>400896</v>
      </c>
      <c r="F672" s="14" t="s">
        <v>1015</v>
      </c>
      <c r="G672" s="95" t="s">
        <v>1577</v>
      </c>
      <c r="H672" s="16">
        <v>4</v>
      </c>
      <c r="I672" s="143">
        <v>652500</v>
      </c>
      <c r="J672" s="17"/>
      <c r="K672" s="17"/>
      <c r="L672" s="419">
        <f>(H672*I672)</f>
        <v>2610000</v>
      </c>
      <c r="M672" s="17"/>
      <c r="N672" s="129"/>
    </row>
    <row r="673" spans="1:14" ht="14.25">
      <c r="A673" t="s">
        <v>30</v>
      </c>
      <c r="B673" s="196">
        <v>4</v>
      </c>
      <c r="C673" s="196">
        <v>2</v>
      </c>
      <c r="D673" s="118"/>
      <c r="E673" s="197"/>
      <c r="F673" s="94" t="s">
        <v>157</v>
      </c>
      <c r="G673" s="15" t="s">
        <v>649</v>
      </c>
      <c r="H673" s="16"/>
      <c r="I673" s="143"/>
      <c r="J673" s="17"/>
      <c r="K673" s="17"/>
      <c r="L673" s="419"/>
      <c r="M673" s="17"/>
      <c r="N673" s="129"/>
    </row>
    <row r="674" spans="1:14" ht="14.25">
      <c r="A674" t="s">
        <v>59</v>
      </c>
      <c r="B674" s="196">
        <v>4</v>
      </c>
      <c r="C674" s="196">
        <v>2</v>
      </c>
      <c r="D674" s="118">
        <v>5</v>
      </c>
      <c r="E674" s="197">
        <v>3262500</v>
      </c>
      <c r="F674" s="94" t="s">
        <v>236</v>
      </c>
      <c r="G674" s="95" t="s">
        <v>1610</v>
      </c>
      <c r="H674" s="16">
        <v>1</v>
      </c>
      <c r="I674" s="122">
        <v>32000</v>
      </c>
      <c r="J674" s="17"/>
      <c r="K674" s="17"/>
      <c r="L674" s="419">
        <f>(H674*I674)</f>
        <v>32000</v>
      </c>
      <c r="M674" s="17"/>
      <c r="N674" s="129"/>
    </row>
    <row r="675" spans="1:14" ht="14.25">
      <c r="A675" t="s">
        <v>60</v>
      </c>
      <c r="B675" s="196">
        <v>4</v>
      </c>
      <c r="C675" s="196">
        <v>2</v>
      </c>
      <c r="D675" s="118"/>
      <c r="E675" s="197"/>
      <c r="F675" s="14" t="s">
        <v>1016</v>
      </c>
      <c r="G675" s="95" t="s">
        <v>234</v>
      </c>
      <c r="H675" s="16">
        <v>5</v>
      </c>
      <c r="I675" s="143">
        <v>2099.6</v>
      </c>
      <c r="J675" s="17"/>
      <c r="K675" s="17"/>
      <c r="L675" s="419">
        <f>(H675*I675)</f>
        <v>10498</v>
      </c>
      <c r="M675" s="17"/>
      <c r="N675" s="129"/>
    </row>
    <row r="676" spans="1:14" ht="15">
      <c r="A676" t="s">
        <v>60</v>
      </c>
      <c r="B676" s="196">
        <v>4</v>
      </c>
      <c r="C676" s="196">
        <v>2</v>
      </c>
      <c r="D676" s="222">
        <v>1</v>
      </c>
      <c r="E676" s="220">
        <v>32000</v>
      </c>
      <c r="F676" s="94" t="s">
        <v>287</v>
      </c>
      <c r="G676" s="15" t="s">
        <v>649</v>
      </c>
      <c r="H676" s="11"/>
      <c r="I676" s="147"/>
      <c r="J676" s="12"/>
      <c r="K676" s="12"/>
      <c r="L676" s="422"/>
      <c r="M676" s="17"/>
      <c r="N676" s="129"/>
    </row>
    <row r="677" spans="1:14" ht="14.25">
      <c r="A677" t="s">
        <v>62</v>
      </c>
      <c r="B677" s="196">
        <v>4</v>
      </c>
      <c r="C677" s="196">
        <v>2</v>
      </c>
      <c r="D677" s="118">
        <v>1</v>
      </c>
      <c r="E677" s="220">
        <v>6700</v>
      </c>
      <c r="F677" s="94" t="s">
        <v>1667</v>
      </c>
      <c r="G677" s="95" t="s">
        <v>1610</v>
      </c>
      <c r="H677" s="534">
        <v>3</v>
      </c>
      <c r="I677" s="544">
        <v>29700</v>
      </c>
      <c r="J677" s="17"/>
      <c r="K677" s="17"/>
      <c r="L677" s="419">
        <f>(H677*I677)</f>
        <v>89100</v>
      </c>
      <c r="M677" s="17"/>
      <c r="N677" s="129"/>
    </row>
    <row r="678" spans="1:14" ht="15">
      <c r="A678" t="s">
        <v>52</v>
      </c>
      <c r="B678" s="196">
        <v>4</v>
      </c>
      <c r="C678" s="196">
        <v>2</v>
      </c>
      <c r="D678" s="118"/>
      <c r="E678" s="197"/>
      <c r="F678" s="564" t="s">
        <v>1632</v>
      </c>
      <c r="G678" s="533" t="s">
        <v>509</v>
      </c>
      <c r="H678" s="118">
        <v>1</v>
      </c>
      <c r="I678" s="122">
        <v>6500</v>
      </c>
      <c r="J678" s="17"/>
      <c r="K678" s="17"/>
      <c r="L678" s="419">
        <f>(H678*I678)</f>
        <v>6500</v>
      </c>
      <c r="M678" s="13"/>
      <c r="N678" s="318"/>
    </row>
    <row r="679" spans="1:14" ht="14.25">
      <c r="A679" t="s">
        <v>62</v>
      </c>
      <c r="B679" s="196">
        <v>4</v>
      </c>
      <c r="C679" s="196">
        <v>2</v>
      </c>
      <c r="D679" s="118">
        <v>2</v>
      </c>
      <c r="E679" s="197">
        <v>75437.12</v>
      </c>
      <c r="F679" s="86" t="s">
        <v>158</v>
      </c>
      <c r="G679" s="95" t="s">
        <v>1610</v>
      </c>
      <c r="H679" s="118">
        <v>1</v>
      </c>
      <c r="I679" s="122">
        <v>6700</v>
      </c>
      <c r="J679" s="17"/>
      <c r="K679" s="17"/>
      <c r="L679" s="419">
        <f>(H679*I679)</f>
        <v>6700</v>
      </c>
      <c r="M679" s="17"/>
      <c r="N679" s="129"/>
    </row>
    <row r="680" spans="1:14" ht="14.25">
      <c r="A680" t="s">
        <v>62</v>
      </c>
      <c r="B680" s="196">
        <v>4</v>
      </c>
      <c r="C680" s="196">
        <v>2</v>
      </c>
      <c r="D680" s="118">
        <v>1</v>
      </c>
      <c r="E680" s="220">
        <v>6500</v>
      </c>
      <c r="F680" s="94" t="s">
        <v>158</v>
      </c>
      <c r="G680" s="95" t="s">
        <v>1610</v>
      </c>
      <c r="H680" s="118">
        <v>1</v>
      </c>
      <c r="I680" s="122">
        <v>7200</v>
      </c>
      <c r="J680" s="17"/>
      <c r="K680" s="17"/>
      <c r="L680" s="419">
        <f>(H680*I680)</f>
        <v>7200</v>
      </c>
      <c r="M680" s="17"/>
      <c r="N680" s="129"/>
    </row>
    <row r="681" spans="1:14" ht="14.25">
      <c r="A681" t="s">
        <v>1634</v>
      </c>
      <c r="B681" s="196">
        <v>4</v>
      </c>
      <c r="C681" s="196">
        <v>2</v>
      </c>
      <c r="D681" s="118">
        <v>1</v>
      </c>
      <c r="E681" s="220">
        <v>7200</v>
      </c>
      <c r="F681" s="593" t="s">
        <v>330</v>
      </c>
      <c r="G681" s="296" t="s">
        <v>1633</v>
      </c>
      <c r="H681" s="622"/>
      <c r="I681" s="639"/>
      <c r="J681" s="17"/>
      <c r="K681" s="17"/>
      <c r="L681" s="419"/>
      <c r="M681" s="17"/>
      <c r="N681" s="129"/>
    </row>
    <row r="682" spans="1:14" ht="14.25">
      <c r="A682" t="s">
        <v>61</v>
      </c>
      <c r="B682" s="196">
        <v>4</v>
      </c>
      <c r="C682" s="196">
        <v>2</v>
      </c>
      <c r="D682" s="118">
        <v>5</v>
      </c>
      <c r="E682" s="197">
        <v>10498</v>
      </c>
      <c r="F682" s="592" t="s">
        <v>1104</v>
      </c>
      <c r="G682" s="617" t="s">
        <v>1545</v>
      </c>
      <c r="H682" s="623">
        <v>50</v>
      </c>
      <c r="I682" s="640">
        <v>350</v>
      </c>
      <c r="J682" s="17"/>
      <c r="K682" s="17"/>
      <c r="L682" s="419">
        <f aca="true" t="shared" si="30" ref="L682:L689">(H682*I682)</f>
        <v>17500</v>
      </c>
      <c r="M682" s="17"/>
      <c r="N682" s="129"/>
    </row>
    <row r="683" spans="1:14" ht="14.25">
      <c r="A683" t="s">
        <v>63</v>
      </c>
      <c r="B683" s="196">
        <v>4</v>
      </c>
      <c r="C683" s="196">
        <v>2</v>
      </c>
      <c r="D683" s="118">
        <v>1</v>
      </c>
      <c r="E683" s="220">
        <v>32480</v>
      </c>
      <c r="F683" s="94" t="s">
        <v>293</v>
      </c>
      <c r="G683" s="95" t="s">
        <v>1541</v>
      </c>
      <c r="H683" s="16">
        <v>2</v>
      </c>
      <c r="I683" s="143">
        <v>11017.68</v>
      </c>
      <c r="J683" s="17"/>
      <c r="K683" s="17"/>
      <c r="L683" s="419">
        <f t="shared" si="30"/>
        <v>22035.36</v>
      </c>
      <c r="M683" s="17"/>
      <c r="N683" s="129"/>
    </row>
    <row r="684" spans="1:14" ht="14.25">
      <c r="A684" s="404" t="s">
        <v>50</v>
      </c>
      <c r="B684" s="196">
        <v>4</v>
      </c>
      <c r="C684" s="196">
        <v>2</v>
      </c>
      <c r="D684" s="118">
        <v>10</v>
      </c>
      <c r="E684" s="197">
        <v>382800</v>
      </c>
      <c r="F684" s="593" t="s">
        <v>323</v>
      </c>
      <c r="G684" s="296" t="s">
        <v>744</v>
      </c>
      <c r="H684" s="16">
        <v>1</v>
      </c>
      <c r="I684" s="143">
        <v>33000</v>
      </c>
      <c r="J684" s="17"/>
      <c r="K684" s="17"/>
      <c r="L684" s="419">
        <f t="shared" si="30"/>
        <v>33000</v>
      </c>
      <c r="M684" s="17"/>
      <c r="N684" s="129"/>
    </row>
    <row r="685" spans="1:14" ht="14.25">
      <c r="A685" s="404" t="s">
        <v>56</v>
      </c>
      <c r="B685" s="196">
        <v>4</v>
      </c>
      <c r="C685" s="196">
        <v>2</v>
      </c>
      <c r="D685" s="118"/>
      <c r="E685" s="197"/>
      <c r="F685" s="86" t="s">
        <v>279</v>
      </c>
      <c r="G685" s="95" t="s">
        <v>1577</v>
      </c>
      <c r="H685" s="622">
        <v>10</v>
      </c>
      <c r="I685" s="639">
        <v>38280</v>
      </c>
      <c r="J685" s="17"/>
      <c r="K685" s="17"/>
      <c r="L685" s="419">
        <f t="shared" si="30"/>
        <v>382800</v>
      </c>
      <c r="M685" s="17"/>
      <c r="N685" s="129"/>
    </row>
    <row r="686" spans="1:14" ht="14.25">
      <c r="A686" s="404" t="s">
        <v>56</v>
      </c>
      <c r="B686" s="196">
        <v>4</v>
      </c>
      <c r="C686" s="196">
        <v>2</v>
      </c>
      <c r="D686" s="118">
        <v>2</v>
      </c>
      <c r="E686" s="197">
        <v>22035.36</v>
      </c>
      <c r="F686" s="592" t="s">
        <v>280</v>
      </c>
      <c r="G686" s="617" t="s">
        <v>1577</v>
      </c>
      <c r="H686" s="623">
        <v>8</v>
      </c>
      <c r="I686" s="640">
        <v>40981</v>
      </c>
      <c r="J686" s="17"/>
      <c r="K686" s="17"/>
      <c r="L686" s="419">
        <f t="shared" si="30"/>
        <v>327848</v>
      </c>
      <c r="M686" s="17"/>
      <c r="N686" s="129"/>
    </row>
    <row r="687" spans="1:14" ht="14.25">
      <c r="A687" s="404" t="s">
        <v>56</v>
      </c>
      <c r="B687" s="196"/>
      <c r="C687" s="196"/>
      <c r="D687" s="118"/>
      <c r="E687" s="197"/>
      <c r="F687" s="86" t="s">
        <v>606</v>
      </c>
      <c r="G687" s="87" t="s">
        <v>1577</v>
      </c>
      <c r="H687" s="16">
        <v>2</v>
      </c>
      <c r="I687" s="149">
        <v>43900</v>
      </c>
      <c r="J687" s="17"/>
      <c r="K687" s="17"/>
      <c r="L687" s="419">
        <f t="shared" si="30"/>
        <v>87800</v>
      </c>
      <c r="M687" s="17"/>
      <c r="N687" s="129"/>
    </row>
    <row r="688" spans="1:14" ht="14.25">
      <c r="A688" t="s">
        <v>64</v>
      </c>
      <c r="B688" s="196">
        <v>4</v>
      </c>
      <c r="C688" s="196">
        <v>2</v>
      </c>
      <c r="D688" s="118">
        <v>1</v>
      </c>
      <c r="E688" s="197">
        <v>33000</v>
      </c>
      <c r="F688" s="94" t="s">
        <v>604</v>
      </c>
      <c r="G688" s="87" t="s">
        <v>1545</v>
      </c>
      <c r="H688" s="16">
        <v>1</v>
      </c>
      <c r="I688" s="149">
        <v>38650</v>
      </c>
      <c r="J688" s="17"/>
      <c r="K688" s="17"/>
      <c r="L688" s="419">
        <f t="shared" si="30"/>
        <v>38650</v>
      </c>
      <c r="M688" s="17"/>
      <c r="N688" s="129"/>
    </row>
    <row r="689" spans="1:14" ht="14.25">
      <c r="A689" t="s">
        <v>64</v>
      </c>
      <c r="B689" s="196">
        <v>4</v>
      </c>
      <c r="C689" s="196">
        <v>2</v>
      </c>
      <c r="D689" s="213">
        <v>2</v>
      </c>
      <c r="E689" s="219">
        <v>87800</v>
      </c>
      <c r="F689" s="94" t="s">
        <v>605</v>
      </c>
      <c r="G689" s="95" t="s">
        <v>1545</v>
      </c>
      <c r="H689" s="16">
        <v>1</v>
      </c>
      <c r="I689" s="149">
        <v>26650</v>
      </c>
      <c r="J689" s="17"/>
      <c r="K689" s="17"/>
      <c r="L689" s="419">
        <f t="shared" si="30"/>
        <v>26650</v>
      </c>
      <c r="M689" s="17"/>
      <c r="N689" s="129"/>
    </row>
    <row r="690" spans="1:14" ht="14.25">
      <c r="A690" t="s">
        <v>64</v>
      </c>
      <c r="B690" s="196">
        <v>4</v>
      </c>
      <c r="C690" s="196">
        <v>2</v>
      </c>
      <c r="D690" s="213">
        <v>1</v>
      </c>
      <c r="E690" s="219">
        <v>38650</v>
      </c>
      <c r="F690" s="97" t="s">
        <v>1433</v>
      </c>
      <c r="G690" s="95" t="s">
        <v>1545</v>
      </c>
      <c r="H690" s="16"/>
      <c r="I690" s="143"/>
      <c r="J690" s="17"/>
      <c r="K690" s="17"/>
      <c r="L690" s="419"/>
      <c r="M690" s="17"/>
      <c r="N690" s="129"/>
    </row>
    <row r="691" spans="1:14" ht="14.25">
      <c r="A691" t="s">
        <v>1637</v>
      </c>
      <c r="B691" s="196">
        <v>4</v>
      </c>
      <c r="C691" s="196">
        <v>2</v>
      </c>
      <c r="D691" s="119"/>
      <c r="E691" s="220"/>
      <c r="F691" s="593" t="s">
        <v>322</v>
      </c>
      <c r="G691" s="296" t="s">
        <v>744</v>
      </c>
      <c r="H691" s="622">
        <v>5</v>
      </c>
      <c r="I691" s="641">
        <v>4250</v>
      </c>
      <c r="J691" s="17"/>
      <c r="K691" s="17"/>
      <c r="L691" s="419">
        <f>(H691*I691)</f>
        <v>21250</v>
      </c>
      <c r="M691" s="17"/>
      <c r="N691" s="129"/>
    </row>
    <row r="692" spans="1:14" ht="14.25">
      <c r="A692" t="s">
        <v>65</v>
      </c>
      <c r="B692" s="196">
        <v>4</v>
      </c>
      <c r="C692" s="196">
        <v>2</v>
      </c>
      <c r="D692" s="213">
        <v>1</v>
      </c>
      <c r="E692" s="219">
        <v>26650</v>
      </c>
      <c r="F692" s="592" t="s">
        <v>211</v>
      </c>
      <c r="G692" s="614"/>
      <c r="H692" s="623">
        <v>8</v>
      </c>
      <c r="I692" s="640">
        <v>18150</v>
      </c>
      <c r="J692" s="17"/>
      <c r="K692" s="17"/>
      <c r="L692" s="419">
        <f>(H692*I692)</f>
        <v>145200</v>
      </c>
      <c r="M692" s="17"/>
      <c r="N692" s="129"/>
    </row>
    <row r="693" spans="1:14" ht="14.25">
      <c r="A693" t="s">
        <v>66</v>
      </c>
      <c r="B693" s="196"/>
      <c r="C693" s="196"/>
      <c r="D693" s="119"/>
      <c r="E693" s="220"/>
      <c r="F693" s="2" t="s">
        <v>1017</v>
      </c>
      <c r="G693" s="95" t="s">
        <v>1541</v>
      </c>
      <c r="H693" s="16">
        <v>5</v>
      </c>
      <c r="I693" s="143">
        <v>5665.44</v>
      </c>
      <c r="J693" s="17"/>
      <c r="K693" s="17"/>
      <c r="L693" s="419">
        <f>(H693*I693)</f>
        <v>28327.199999999997</v>
      </c>
      <c r="M693" s="17"/>
      <c r="N693" s="129"/>
    </row>
    <row r="694" spans="1:14" ht="14.25">
      <c r="A694" t="s">
        <v>1635</v>
      </c>
      <c r="B694" s="196">
        <v>4</v>
      </c>
      <c r="C694" s="196">
        <v>2</v>
      </c>
      <c r="D694" s="118"/>
      <c r="E694" s="154"/>
      <c r="F694" s="593" t="s">
        <v>1636</v>
      </c>
      <c r="G694" s="296" t="s">
        <v>509</v>
      </c>
      <c r="H694" s="16">
        <v>6</v>
      </c>
      <c r="I694" s="143">
        <v>276100</v>
      </c>
      <c r="J694" s="17"/>
      <c r="K694" s="17"/>
      <c r="L694" s="419">
        <f>(H694*I694)</f>
        <v>1656600</v>
      </c>
      <c r="M694" s="17"/>
      <c r="N694" s="129"/>
    </row>
    <row r="695" spans="1:14" ht="14.25">
      <c r="A695" t="s">
        <v>74</v>
      </c>
      <c r="B695" s="196">
        <v>4</v>
      </c>
      <c r="C695" s="196">
        <v>2</v>
      </c>
      <c r="D695" s="118">
        <v>5</v>
      </c>
      <c r="E695" s="197">
        <v>28327.2</v>
      </c>
      <c r="F695" s="94" t="s">
        <v>738</v>
      </c>
      <c r="G695" s="15" t="s">
        <v>649</v>
      </c>
      <c r="H695" s="16"/>
      <c r="I695" s="17"/>
      <c r="J695" s="17"/>
      <c r="K695" s="17"/>
      <c r="L695" s="419"/>
      <c r="M695" s="17"/>
      <c r="N695" s="129"/>
    </row>
    <row r="696" spans="1:14" ht="14.25">
      <c r="A696" t="s">
        <v>28</v>
      </c>
      <c r="B696" s="196">
        <v>4</v>
      </c>
      <c r="C696" s="196">
        <v>2</v>
      </c>
      <c r="D696" s="118">
        <v>1</v>
      </c>
      <c r="E696" s="197">
        <v>31300</v>
      </c>
      <c r="F696" s="94" t="s">
        <v>159</v>
      </c>
      <c r="G696" s="15"/>
      <c r="H696" s="534">
        <v>1</v>
      </c>
      <c r="I696" s="544">
        <v>382700</v>
      </c>
      <c r="J696" s="17"/>
      <c r="K696" s="17"/>
      <c r="L696" s="419">
        <f>(H696*I696)</f>
        <v>382700</v>
      </c>
      <c r="M696" s="17"/>
      <c r="N696" s="129"/>
    </row>
    <row r="697" spans="1:14" ht="14.25">
      <c r="A697" t="s">
        <v>28</v>
      </c>
      <c r="B697" s="196">
        <v>4</v>
      </c>
      <c r="C697" s="196">
        <v>2</v>
      </c>
      <c r="D697" s="118">
        <v>1</v>
      </c>
      <c r="E697" s="154">
        <v>276100</v>
      </c>
      <c r="F697" s="592" t="s">
        <v>160</v>
      </c>
      <c r="G697" s="617"/>
      <c r="H697" s="16">
        <v>1</v>
      </c>
      <c r="I697" s="638">
        <v>205</v>
      </c>
      <c r="J697" s="17"/>
      <c r="K697" s="17"/>
      <c r="L697" s="419">
        <f>(H697*I697)</f>
        <v>205</v>
      </c>
      <c r="M697" s="17"/>
      <c r="N697" s="129"/>
    </row>
    <row r="698" spans="1:14" ht="14.25">
      <c r="A698" t="s">
        <v>28</v>
      </c>
      <c r="B698" s="196">
        <v>4</v>
      </c>
      <c r="C698" s="196">
        <v>2</v>
      </c>
      <c r="D698" s="118">
        <v>10</v>
      </c>
      <c r="E698" s="154">
        <v>2761000</v>
      </c>
      <c r="F698" s="91" t="s">
        <v>1181</v>
      </c>
      <c r="G698" s="95" t="s">
        <v>1610</v>
      </c>
      <c r="H698" s="16">
        <v>6</v>
      </c>
      <c r="I698" s="639">
        <v>60</v>
      </c>
      <c r="J698" s="17"/>
      <c r="K698" s="17"/>
      <c r="L698" s="419">
        <f>(H698*I698)</f>
        <v>360</v>
      </c>
      <c r="M698" s="17"/>
      <c r="N698" s="129"/>
    </row>
    <row r="699" spans="1:14" ht="14.25">
      <c r="A699" t="s">
        <v>76</v>
      </c>
      <c r="B699" s="196">
        <v>4</v>
      </c>
      <c r="C699" s="196">
        <v>2</v>
      </c>
      <c r="D699" s="118">
        <v>1</v>
      </c>
      <c r="E699" s="154">
        <v>255000</v>
      </c>
      <c r="F699" s="94" t="s">
        <v>1522</v>
      </c>
      <c r="G699" s="98" t="s">
        <v>1543</v>
      </c>
      <c r="H699" s="16"/>
      <c r="I699" s="17"/>
      <c r="J699" s="17"/>
      <c r="K699" s="17"/>
      <c r="L699" s="419"/>
      <c r="M699" s="17"/>
      <c r="N699" s="129"/>
    </row>
    <row r="700" spans="1:14" ht="14.25">
      <c r="A700" t="s">
        <v>77</v>
      </c>
      <c r="B700" s="196">
        <v>4</v>
      </c>
      <c r="C700" s="196">
        <v>2</v>
      </c>
      <c r="D700" s="118">
        <v>6</v>
      </c>
      <c r="E700" s="197">
        <v>360</v>
      </c>
      <c r="F700" s="94" t="s">
        <v>1431</v>
      </c>
      <c r="G700" s="15"/>
      <c r="H700" s="16"/>
      <c r="I700" s="17"/>
      <c r="J700" s="17"/>
      <c r="K700" s="17"/>
      <c r="L700" s="419"/>
      <c r="M700" s="17"/>
      <c r="N700" s="129"/>
    </row>
    <row r="701" spans="1:14" ht="14.25">
      <c r="A701" t="s">
        <v>78</v>
      </c>
      <c r="B701" s="196">
        <v>4</v>
      </c>
      <c r="C701" s="196">
        <v>2</v>
      </c>
      <c r="D701" s="118"/>
      <c r="E701" s="197"/>
      <c r="F701" s="14" t="s">
        <v>1018</v>
      </c>
      <c r="G701" s="92"/>
      <c r="H701" s="16">
        <v>5</v>
      </c>
      <c r="I701" s="17">
        <v>8.05</v>
      </c>
      <c r="J701" s="17"/>
      <c r="K701" s="17"/>
      <c r="L701" s="419">
        <f aca="true" t="shared" si="31" ref="L701:L707">(H701*I701)</f>
        <v>40.25</v>
      </c>
      <c r="M701" s="17"/>
      <c r="N701" s="129"/>
    </row>
    <row r="702" spans="1:14" ht="14.25">
      <c r="A702" t="s">
        <v>78</v>
      </c>
      <c r="B702" s="196">
        <v>4</v>
      </c>
      <c r="C702" s="196">
        <v>2</v>
      </c>
      <c r="D702" s="118"/>
      <c r="E702" s="197"/>
      <c r="F702" s="14" t="s">
        <v>1032</v>
      </c>
      <c r="G702" s="92" t="s">
        <v>649</v>
      </c>
      <c r="H702" s="16">
        <v>5</v>
      </c>
      <c r="I702" s="17">
        <v>8.05</v>
      </c>
      <c r="J702" s="17"/>
      <c r="K702" s="17"/>
      <c r="L702" s="419">
        <f t="shared" si="31"/>
        <v>40.25</v>
      </c>
      <c r="M702" s="17"/>
      <c r="N702" s="129"/>
    </row>
    <row r="703" spans="1:14" ht="14.25">
      <c r="A703" t="s">
        <v>78</v>
      </c>
      <c r="B703" s="196">
        <v>4</v>
      </c>
      <c r="C703" s="196">
        <v>2</v>
      </c>
      <c r="D703" s="118">
        <v>5</v>
      </c>
      <c r="E703" s="197">
        <v>40.25</v>
      </c>
      <c r="F703" s="14" t="s">
        <v>1033</v>
      </c>
      <c r="G703" s="92" t="s">
        <v>649</v>
      </c>
      <c r="H703" s="16">
        <v>5</v>
      </c>
      <c r="I703" s="17">
        <v>8.05</v>
      </c>
      <c r="J703" s="17"/>
      <c r="K703" s="17"/>
      <c r="L703" s="419">
        <f t="shared" si="31"/>
        <v>40.25</v>
      </c>
      <c r="M703" s="17"/>
      <c r="N703" s="129"/>
    </row>
    <row r="704" spans="1:14" ht="14.25">
      <c r="A704" t="s">
        <v>78</v>
      </c>
      <c r="B704" s="196">
        <v>4</v>
      </c>
      <c r="C704" s="196">
        <v>2</v>
      </c>
      <c r="D704" s="118">
        <v>5</v>
      </c>
      <c r="E704" s="197">
        <v>40.25</v>
      </c>
      <c r="F704" s="94" t="s">
        <v>1523</v>
      </c>
      <c r="G704" s="92" t="s">
        <v>649</v>
      </c>
      <c r="H704" s="630">
        <v>4</v>
      </c>
      <c r="I704" s="638">
        <v>149350</v>
      </c>
      <c r="J704" s="17"/>
      <c r="K704" s="17"/>
      <c r="L704" s="419">
        <f t="shared" si="31"/>
        <v>597400</v>
      </c>
      <c r="M704" s="17"/>
      <c r="N704" s="129"/>
    </row>
    <row r="705" spans="1:14" ht="14.25">
      <c r="A705" t="s">
        <v>1639</v>
      </c>
      <c r="B705" s="196">
        <v>4</v>
      </c>
      <c r="C705" s="196">
        <v>2</v>
      </c>
      <c r="D705" s="118">
        <v>5</v>
      </c>
      <c r="E705" s="197">
        <v>40.25</v>
      </c>
      <c r="F705" s="595" t="s">
        <v>1640</v>
      </c>
      <c r="G705" s="616" t="s">
        <v>509</v>
      </c>
      <c r="H705" s="535">
        <v>2</v>
      </c>
      <c r="I705" s="544">
        <v>137600</v>
      </c>
      <c r="J705" s="17"/>
      <c r="K705" s="17"/>
      <c r="L705" s="419">
        <f t="shared" si="31"/>
        <v>275200</v>
      </c>
      <c r="M705" s="17"/>
      <c r="N705" s="129"/>
    </row>
    <row r="706" spans="1:14" ht="14.25">
      <c r="A706" t="s">
        <v>1639</v>
      </c>
      <c r="B706" s="196"/>
      <c r="C706" s="196"/>
      <c r="D706" s="118"/>
      <c r="E706" s="197"/>
      <c r="F706" s="564" t="s">
        <v>1638</v>
      </c>
      <c r="G706" s="533" t="s">
        <v>509</v>
      </c>
      <c r="H706" s="629">
        <v>5</v>
      </c>
      <c r="I706" s="639">
        <v>37769.6</v>
      </c>
      <c r="J706" s="17"/>
      <c r="K706" s="17"/>
      <c r="L706" s="419">
        <f t="shared" si="31"/>
        <v>188848</v>
      </c>
      <c r="M706" s="17"/>
      <c r="N706" s="129"/>
    </row>
    <row r="707" spans="1:14" ht="14.25">
      <c r="A707" t="s">
        <v>1639</v>
      </c>
      <c r="B707" s="196">
        <v>4</v>
      </c>
      <c r="C707" s="196">
        <v>2</v>
      </c>
      <c r="D707" s="118"/>
      <c r="E707" s="197"/>
      <c r="F707" s="584" t="s">
        <v>1641</v>
      </c>
      <c r="G707" s="536" t="s">
        <v>509</v>
      </c>
      <c r="H707" s="534">
        <v>6</v>
      </c>
      <c r="I707" s="544">
        <v>28850</v>
      </c>
      <c r="J707" s="17"/>
      <c r="K707" s="17"/>
      <c r="L707" s="419">
        <f t="shared" si="31"/>
        <v>173100</v>
      </c>
      <c r="M707" s="17"/>
      <c r="N707" s="129"/>
    </row>
    <row r="708" spans="1:14" ht="15">
      <c r="A708" t="s">
        <v>35</v>
      </c>
      <c r="B708" s="196">
        <v>4</v>
      </c>
      <c r="C708" s="196">
        <v>2</v>
      </c>
      <c r="D708" s="118">
        <v>8</v>
      </c>
      <c r="E708" s="197">
        <v>519791.36</v>
      </c>
      <c r="F708" s="592" t="s">
        <v>288</v>
      </c>
      <c r="G708" s="614"/>
      <c r="H708" s="11"/>
      <c r="I708" s="12"/>
      <c r="J708" s="12"/>
      <c r="K708" s="12"/>
      <c r="L708" s="422"/>
      <c r="M708" s="17"/>
      <c r="N708" s="129"/>
    </row>
    <row r="709" spans="1:14" ht="14.25">
      <c r="A709" t="s">
        <v>79</v>
      </c>
      <c r="B709" s="196">
        <v>4</v>
      </c>
      <c r="C709" s="196">
        <v>2</v>
      </c>
      <c r="D709" s="118">
        <v>5</v>
      </c>
      <c r="E709" s="197">
        <v>188848</v>
      </c>
      <c r="F709" s="94" t="s">
        <v>206</v>
      </c>
      <c r="G709" s="87" t="s">
        <v>234</v>
      </c>
      <c r="H709" s="16">
        <v>5</v>
      </c>
      <c r="I709" s="114">
        <v>1050</v>
      </c>
      <c r="J709" s="17"/>
      <c r="K709" s="17"/>
      <c r="L709" s="419">
        <f aca="true" t="shared" si="32" ref="L709:L714">(H709*I709)</f>
        <v>5250</v>
      </c>
      <c r="M709" s="17"/>
      <c r="N709" s="129"/>
    </row>
    <row r="710" spans="1:14" ht="15">
      <c r="A710" t="s">
        <v>80</v>
      </c>
      <c r="B710" s="196">
        <v>4</v>
      </c>
      <c r="C710" s="196">
        <v>2</v>
      </c>
      <c r="D710" s="118"/>
      <c r="E710" s="197"/>
      <c r="F710" s="94" t="s">
        <v>207</v>
      </c>
      <c r="G710" s="87" t="s">
        <v>1541</v>
      </c>
      <c r="H710" s="16">
        <v>5</v>
      </c>
      <c r="I710" s="149">
        <v>1000</v>
      </c>
      <c r="J710" s="17"/>
      <c r="K710" s="17"/>
      <c r="L710" s="419">
        <f t="shared" si="32"/>
        <v>5000</v>
      </c>
      <c r="M710" s="13"/>
      <c r="N710" s="129"/>
    </row>
    <row r="711" spans="1:14" ht="15">
      <c r="A711" t="s">
        <v>80</v>
      </c>
      <c r="B711" s="196">
        <v>4</v>
      </c>
      <c r="C711" s="196">
        <v>2</v>
      </c>
      <c r="D711" s="118">
        <v>5</v>
      </c>
      <c r="E711" s="197">
        <v>5250</v>
      </c>
      <c r="F711" s="94" t="s">
        <v>212</v>
      </c>
      <c r="G711" s="87" t="s">
        <v>1541</v>
      </c>
      <c r="H711" s="623">
        <v>7</v>
      </c>
      <c r="I711" s="640">
        <v>21900</v>
      </c>
      <c r="J711" s="17"/>
      <c r="K711" s="17"/>
      <c r="L711" s="419">
        <f t="shared" si="32"/>
        <v>153300</v>
      </c>
      <c r="M711" s="17"/>
      <c r="N711" s="318"/>
    </row>
    <row r="712" spans="1:14" ht="14.25">
      <c r="A712" t="s">
        <v>111</v>
      </c>
      <c r="B712" s="196">
        <v>4</v>
      </c>
      <c r="C712" s="196">
        <v>2</v>
      </c>
      <c r="D712" s="118">
        <v>5</v>
      </c>
      <c r="E712" s="197">
        <v>5000</v>
      </c>
      <c r="F712" s="593" t="s">
        <v>1642</v>
      </c>
      <c r="G712" s="618" t="s">
        <v>744</v>
      </c>
      <c r="H712" s="622">
        <v>20</v>
      </c>
      <c r="I712" s="639">
        <v>2820</v>
      </c>
      <c r="J712" s="17"/>
      <c r="K712" s="17"/>
      <c r="L712" s="419">
        <f t="shared" si="32"/>
        <v>56400</v>
      </c>
      <c r="M712" s="17"/>
      <c r="N712" s="129"/>
    </row>
    <row r="713" spans="1:14" ht="14.25">
      <c r="A713" t="s">
        <v>81</v>
      </c>
      <c r="B713" s="196"/>
      <c r="C713" s="196"/>
      <c r="D713" s="118"/>
      <c r="E713" s="197"/>
      <c r="F713" s="592" t="s">
        <v>1428</v>
      </c>
      <c r="G713" s="617" t="s">
        <v>1541</v>
      </c>
      <c r="H713" s="16">
        <v>40</v>
      </c>
      <c r="I713" s="638">
        <v>4850</v>
      </c>
      <c r="J713" s="17"/>
      <c r="K713" s="17"/>
      <c r="L713" s="419">
        <f t="shared" si="32"/>
        <v>194000</v>
      </c>
      <c r="M713" s="17"/>
      <c r="N713" s="129"/>
    </row>
    <row r="714" spans="1:14" ht="14.25">
      <c r="A714" t="s">
        <v>82</v>
      </c>
      <c r="B714" s="196">
        <v>4</v>
      </c>
      <c r="C714" s="196">
        <v>2</v>
      </c>
      <c r="D714" s="118" t="s">
        <v>1368</v>
      </c>
      <c r="E714" s="197"/>
      <c r="F714" s="94" t="s">
        <v>1427</v>
      </c>
      <c r="G714" s="87" t="s">
        <v>1610</v>
      </c>
      <c r="H714" s="16">
        <v>30</v>
      </c>
      <c r="I714" s="544">
        <v>9150</v>
      </c>
      <c r="J714" s="17"/>
      <c r="K714" s="17"/>
      <c r="L714" s="419">
        <f t="shared" si="32"/>
        <v>274500</v>
      </c>
      <c r="M714" s="17"/>
      <c r="N714" s="129"/>
    </row>
    <row r="715" spans="1:14" ht="14.25">
      <c r="A715" t="s">
        <v>82</v>
      </c>
      <c r="B715" s="196">
        <v>4</v>
      </c>
      <c r="C715" s="196">
        <v>2</v>
      </c>
      <c r="D715" s="118"/>
      <c r="E715" s="197"/>
      <c r="F715" s="94" t="s">
        <v>1429</v>
      </c>
      <c r="G715" s="95" t="s">
        <v>1610</v>
      </c>
      <c r="H715" s="16"/>
      <c r="I715" s="639">
        <v>5710</v>
      </c>
      <c r="J715" s="17"/>
      <c r="K715" s="17"/>
      <c r="L715" s="419"/>
      <c r="M715" s="17"/>
      <c r="N715" s="129"/>
    </row>
    <row r="716" spans="1:14" ht="14.25">
      <c r="A716" t="s">
        <v>82</v>
      </c>
      <c r="B716" s="196">
        <v>4</v>
      </c>
      <c r="C716" s="196">
        <v>2</v>
      </c>
      <c r="D716" s="118">
        <v>20</v>
      </c>
      <c r="E716" s="197">
        <v>56400</v>
      </c>
      <c r="F716" s="94" t="s">
        <v>1109</v>
      </c>
      <c r="G716" s="15"/>
      <c r="H716" s="16">
        <v>5</v>
      </c>
      <c r="I716" s="114">
        <v>20300</v>
      </c>
      <c r="J716" s="17"/>
      <c r="K716" s="17"/>
      <c r="L716" s="419">
        <f>(H716*I716)</f>
        <v>101500</v>
      </c>
      <c r="M716" s="17"/>
      <c r="N716" s="129"/>
    </row>
    <row r="717" spans="1:14" ht="15">
      <c r="A717" t="s">
        <v>26</v>
      </c>
      <c r="B717" s="196">
        <v>4</v>
      </c>
      <c r="C717" s="196">
        <v>2</v>
      </c>
      <c r="D717" s="118"/>
      <c r="E717" s="197"/>
      <c r="F717" s="567" t="s">
        <v>502</v>
      </c>
      <c r="G717" s="92"/>
      <c r="H717" s="100"/>
      <c r="I717" s="147"/>
      <c r="J717" s="12"/>
      <c r="K717" s="12"/>
      <c r="L717" s="422"/>
      <c r="M717" s="17"/>
      <c r="N717" s="129"/>
    </row>
    <row r="718" spans="1:14" ht="15">
      <c r="A718" s="404" t="s">
        <v>50</v>
      </c>
      <c r="B718" s="196">
        <v>4</v>
      </c>
      <c r="C718" s="196">
        <v>2</v>
      </c>
      <c r="D718" s="118">
        <v>0</v>
      </c>
      <c r="E718" s="197">
        <v>0</v>
      </c>
      <c r="F718" s="600" t="s">
        <v>1643</v>
      </c>
      <c r="G718" s="652" t="s">
        <v>744</v>
      </c>
      <c r="H718" s="119">
        <v>2</v>
      </c>
      <c r="I718" s="17">
        <v>54944.56</v>
      </c>
      <c r="J718" s="17"/>
      <c r="K718" s="17"/>
      <c r="L718" s="419">
        <f>(H718*I718)</f>
        <v>109889.12</v>
      </c>
      <c r="M718" s="17"/>
      <c r="N718" s="129"/>
    </row>
    <row r="719" spans="1:14" ht="14.25">
      <c r="A719" t="s">
        <v>83</v>
      </c>
      <c r="B719" s="196">
        <v>4</v>
      </c>
      <c r="C719" s="196">
        <v>2</v>
      </c>
      <c r="D719" s="118">
        <v>5</v>
      </c>
      <c r="E719" s="197">
        <v>101500</v>
      </c>
      <c r="F719" s="94" t="s">
        <v>219</v>
      </c>
      <c r="G719" s="95" t="s">
        <v>1610</v>
      </c>
      <c r="H719" s="16">
        <v>30</v>
      </c>
      <c r="I719" s="143">
        <v>532</v>
      </c>
      <c r="J719" s="17"/>
      <c r="K719" s="17"/>
      <c r="L719" s="419">
        <f>(H719*I719)</f>
        <v>15960</v>
      </c>
      <c r="M719" s="17"/>
      <c r="N719" s="129"/>
    </row>
    <row r="720" spans="1:14" ht="15">
      <c r="A720" t="s">
        <v>36</v>
      </c>
      <c r="B720" s="196">
        <v>4</v>
      </c>
      <c r="C720" s="196">
        <v>2</v>
      </c>
      <c r="D720" s="118"/>
      <c r="E720" s="197"/>
      <c r="F720" s="94" t="s">
        <v>220</v>
      </c>
      <c r="G720" s="95" t="s">
        <v>1610</v>
      </c>
      <c r="H720" s="16">
        <v>30</v>
      </c>
      <c r="I720" s="143">
        <v>617.12</v>
      </c>
      <c r="J720" s="17"/>
      <c r="K720" s="17"/>
      <c r="L720" s="419">
        <f>(H720*I720)</f>
        <v>18513.6</v>
      </c>
      <c r="M720" s="13"/>
      <c r="N720" s="318"/>
    </row>
    <row r="721" spans="1:14" ht="14.25">
      <c r="A721" t="s">
        <v>36</v>
      </c>
      <c r="B721" s="196">
        <v>4</v>
      </c>
      <c r="C721" s="196">
        <v>2</v>
      </c>
      <c r="D721" s="118">
        <v>30</v>
      </c>
      <c r="E721" s="197">
        <v>15960</v>
      </c>
      <c r="F721" s="14" t="s">
        <v>1034</v>
      </c>
      <c r="G721" s="95" t="s">
        <v>1610</v>
      </c>
      <c r="H721" s="16">
        <v>4</v>
      </c>
      <c r="I721" s="143">
        <v>3364</v>
      </c>
      <c r="J721" s="17"/>
      <c r="K721" s="17"/>
      <c r="L721" s="419">
        <f>(H721*I721)</f>
        <v>13456</v>
      </c>
      <c r="M721" s="17"/>
      <c r="N721" s="129"/>
    </row>
    <row r="722" spans="1:14" ht="14.25">
      <c r="A722" t="s">
        <v>84</v>
      </c>
      <c r="B722" s="196">
        <v>4</v>
      </c>
      <c r="C722" s="196">
        <v>2</v>
      </c>
      <c r="D722" s="118">
        <v>30</v>
      </c>
      <c r="E722" s="197">
        <v>18513.6</v>
      </c>
      <c r="F722" s="14" t="s">
        <v>1035</v>
      </c>
      <c r="G722" s="15" t="s">
        <v>649</v>
      </c>
      <c r="H722" s="16">
        <v>5</v>
      </c>
      <c r="I722" s="143">
        <v>6380</v>
      </c>
      <c r="J722" s="17"/>
      <c r="K722" s="17"/>
      <c r="L722" s="419">
        <f>(H722*I722)</f>
        <v>31900</v>
      </c>
      <c r="M722" s="17"/>
      <c r="N722" s="129"/>
    </row>
    <row r="723" spans="1:14" ht="14.25">
      <c r="A723" t="s">
        <v>84</v>
      </c>
      <c r="B723" s="196">
        <v>4</v>
      </c>
      <c r="C723" s="196">
        <v>2</v>
      </c>
      <c r="D723" s="118">
        <v>4</v>
      </c>
      <c r="E723" s="197">
        <v>13456</v>
      </c>
      <c r="F723" s="94" t="s">
        <v>1426</v>
      </c>
      <c r="G723" s="15" t="s">
        <v>649</v>
      </c>
      <c r="H723" s="16"/>
      <c r="I723" s="143"/>
      <c r="J723" s="17"/>
      <c r="K723" s="17"/>
      <c r="L723" s="419"/>
      <c r="M723" s="17"/>
      <c r="N723" s="129"/>
    </row>
    <row r="724" spans="1:14" ht="14.25">
      <c r="A724" t="s">
        <v>85</v>
      </c>
      <c r="B724" s="196">
        <v>4</v>
      </c>
      <c r="C724" s="196">
        <v>2</v>
      </c>
      <c r="D724" s="118">
        <v>5</v>
      </c>
      <c r="E724" s="197">
        <v>31900</v>
      </c>
      <c r="F724" s="14" t="s">
        <v>1036</v>
      </c>
      <c r="G724" s="15"/>
      <c r="H724" s="16">
        <v>1</v>
      </c>
      <c r="I724" s="143">
        <v>145000</v>
      </c>
      <c r="J724" s="17"/>
      <c r="K724" s="17"/>
      <c r="L724" s="419">
        <f aca="true" t="shared" si="33" ref="L724:L735">(H724*I724)</f>
        <v>145000</v>
      </c>
      <c r="M724" s="17"/>
      <c r="N724" s="129"/>
    </row>
    <row r="725" spans="1:14" ht="14.25">
      <c r="A725" t="s">
        <v>85</v>
      </c>
      <c r="B725" s="196">
        <v>4</v>
      </c>
      <c r="C725" s="196">
        <v>2</v>
      </c>
      <c r="D725" s="118"/>
      <c r="E725" s="197"/>
      <c r="F725" s="14" t="s">
        <v>1037</v>
      </c>
      <c r="G725" s="15" t="s">
        <v>649</v>
      </c>
      <c r="H725" s="534">
        <v>4</v>
      </c>
      <c r="I725" s="544">
        <v>67250</v>
      </c>
      <c r="J725" s="17"/>
      <c r="K725" s="17"/>
      <c r="L725" s="419">
        <f t="shared" si="33"/>
        <v>269000</v>
      </c>
      <c r="M725" s="17"/>
      <c r="N725" s="129"/>
    </row>
    <row r="726" spans="1:14" ht="14.25">
      <c r="A726" t="s">
        <v>35</v>
      </c>
      <c r="B726" s="196">
        <v>4</v>
      </c>
      <c r="C726" s="196">
        <v>2</v>
      </c>
      <c r="D726" s="118">
        <v>4</v>
      </c>
      <c r="E726" s="197">
        <v>14000</v>
      </c>
      <c r="F726" s="592" t="s">
        <v>1110</v>
      </c>
      <c r="G726" s="614"/>
      <c r="H726" s="16">
        <v>2</v>
      </c>
      <c r="I726" s="143">
        <v>64106.24</v>
      </c>
      <c r="J726" s="17"/>
      <c r="K726" s="17"/>
      <c r="L726" s="419">
        <f t="shared" si="33"/>
        <v>128212.48</v>
      </c>
      <c r="M726" s="17"/>
      <c r="N726" s="129"/>
    </row>
    <row r="727" spans="1:14" ht="14.25">
      <c r="A727" t="s">
        <v>1644</v>
      </c>
      <c r="B727" s="196">
        <v>4</v>
      </c>
      <c r="C727" s="196">
        <v>2</v>
      </c>
      <c r="D727" s="118">
        <v>1</v>
      </c>
      <c r="E727" s="197">
        <v>145000</v>
      </c>
      <c r="F727" s="593" t="s">
        <v>321</v>
      </c>
      <c r="G727" s="296" t="s">
        <v>509</v>
      </c>
      <c r="H727" s="16">
        <v>1</v>
      </c>
      <c r="I727" s="143">
        <v>105560</v>
      </c>
      <c r="J727" s="17"/>
      <c r="K727" s="17"/>
      <c r="L727" s="419">
        <f t="shared" si="33"/>
        <v>105560</v>
      </c>
      <c r="M727" s="17"/>
      <c r="N727" s="129"/>
    </row>
    <row r="728" spans="1:14" ht="14.25">
      <c r="A728" t="s">
        <v>86</v>
      </c>
      <c r="B728" s="196">
        <v>4</v>
      </c>
      <c r="C728" s="196">
        <v>2</v>
      </c>
      <c r="D728" s="118">
        <v>2</v>
      </c>
      <c r="E728" s="197">
        <v>128212.48</v>
      </c>
      <c r="F728" s="593" t="s">
        <v>320</v>
      </c>
      <c r="G728" s="296" t="s">
        <v>1649</v>
      </c>
      <c r="H728" s="622">
        <v>1</v>
      </c>
      <c r="I728" s="639">
        <v>10570</v>
      </c>
      <c r="J728" s="17"/>
      <c r="K728" s="17"/>
      <c r="L728" s="419">
        <f t="shared" si="33"/>
        <v>10570</v>
      </c>
      <c r="M728" s="17"/>
      <c r="N728" s="129"/>
    </row>
    <row r="729" spans="1:14" ht="14.25">
      <c r="A729" t="s">
        <v>35</v>
      </c>
      <c r="B729" s="196">
        <v>4</v>
      </c>
      <c r="C729" s="196">
        <v>2</v>
      </c>
      <c r="D729" s="118">
        <v>1</v>
      </c>
      <c r="E729" s="197">
        <v>105560</v>
      </c>
      <c r="F729" s="592" t="s">
        <v>443</v>
      </c>
      <c r="G729" s="614"/>
      <c r="H729" s="623">
        <v>10</v>
      </c>
      <c r="I729" s="638">
        <v>2390</v>
      </c>
      <c r="J729" s="17"/>
      <c r="K729" s="17"/>
      <c r="L729" s="419">
        <f t="shared" si="33"/>
        <v>23900</v>
      </c>
      <c r="M729" s="17"/>
      <c r="N729" s="129"/>
    </row>
    <row r="730" spans="1:14" ht="14.25">
      <c r="A730" t="s">
        <v>86</v>
      </c>
      <c r="B730" s="196">
        <v>4</v>
      </c>
      <c r="C730" s="196">
        <v>2</v>
      </c>
      <c r="D730" s="118">
        <v>1</v>
      </c>
      <c r="E730" s="154">
        <v>12000</v>
      </c>
      <c r="F730" s="94" t="s">
        <v>444</v>
      </c>
      <c r="G730" s="95" t="s">
        <v>1610</v>
      </c>
      <c r="H730" s="16">
        <v>1</v>
      </c>
      <c r="I730" s="17">
        <v>13000</v>
      </c>
      <c r="J730" s="17"/>
      <c r="K730" s="17"/>
      <c r="L730" s="419">
        <f t="shared" si="33"/>
        <v>13000</v>
      </c>
      <c r="M730" s="17"/>
      <c r="N730" s="129"/>
    </row>
    <row r="731" spans="1:14" ht="14.25">
      <c r="A731" t="s">
        <v>86</v>
      </c>
      <c r="B731" s="196">
        <v>4</v>
      </c>
      <c r="C731" s="196">
        <v>2</v>
      </c>
      <c r="D731" s="118">
        <v>1</v>
      </c>
      <c r="E731" s="154">
        <v>10570</v>
      </c>
      <c r="F731" s="94" t="s">
        <v>8</v>
      </c>
      <c r="G731" s="95" t="s">
        <v>1610</v>
      </c>
      <c r="H731" s="534">
        <v>2</v>
      </c>
      <c r="I731" s="544">
        <v>112000</v>
      </c>
      <c r="J731" s="17"/>
      <c r="K731" s="17"/>
      <c r="L731" s="419">
        <f t="shared" si="33"/>
        <v>224000</v>
      </c>
      <c r="M731" s="17"/>
      <c r="N731" s="129"/>
    </row>
    <row r="732" spans="1:14" ht="14.25">
      <c r="A732" t="s">
        <v>1650</v>
      </c>
      <c r="B732" s="196">
        <v>4</v>
      </c>
      <c r="C732" s="196">
        <v>2</v>
      </c>
      <c r="D732" s="118">
        <v>1</v>
      </c>
      <c r="E732" s="154">
        <v>13000</v>
      </c>
      <c r="F732" s="564" t="s">
        <v>1655</v>
      </c>
      <c r="G732" s="533" t="s">
        <v>509</v>
      </c>
      <c r="H732" s="534">
        <v>17</v>
      </c>
      <c r="I732" s="544">
        <v>18850</v>
      </c>
      <c r="J732" s="17"/>
      <c r="K732" s="17"/>
      <c r="L732" s="419">
        <f t="shared" si="33"/>
        <v>320450</v>
      </c>
      <c r="M732" s="17"/>
      <c r="N732" s="129"/>
    </row>
    <row r="733" spans="1:14" ht="14.25">
      <c r="A733" t="s">
        <v>1650</v>
      </c>
      <c r="B733" s="196">
        <v>4</v>
      </c>
      <c r="C733" s="196">
        <v>2</v>
      </c>
      <c r="D733" s="118"/>
      <c r="E733" s="154"/>
      <c r="F733" s="564" t="s">
        <v>1656</v>
      </c>
      <c r="G733" s="533" t="s">
        <v>509</v>
      </c>
      <c r="H733" s="534">
        <v>5</v>
      </c>
      <c r="I733" s="544">
        <v>12350</v>
      </c>
      <c r="J733" s="17"/>
      <c r="K733" s="17"/>
      <c r="L733" s="419">
        <f t="shared" si="33"/>
        <v>61750</v>
      </c>
      <c r="M733" s="17"/>
      <c r="N733" s="129"/>
    </row>
    <row r="734" spans="1:14" ht="14.25">
      <c r="A734" t="s">
        <v>1650</v>
      </c>
      <c r="B734" s="196">
        <v>4</v>
      </c>
      <c r="C734" s="196">
        <v>2</v>
      </c>
      <c r="D734" s="118">
        <v>5</v>
      </c>
      <c r="E734" s="197">
        <v>78856.8</v>
      </c>
      <c r="F734" s="564" t="s">
        <v>1657</v>
      </c>
      <c r="G734" s="533" t="s">
        <v>509</v>
      </c>
      <c r="H734" s="140">
        <v>1</v>
      </c>
      <c r="I734" s="142">
        <v>26564</v>
      </c>
      <c r="J734" s="142"/>
      <c r="K734" s="142"/>
      <c r="L734" s="419">
        <f t="shared" si="33"/>
        <v>26564</v>
      </c>
      <c r="M734" s="17"/>
      <c r="N734" s="129"/>
    </row>
    <row r="735" spans="1:14" ht="14.25">
      <c r="A735" t="s">
        <v>87</v>
      </c>
      <c r="B735" s="196">
        <v>4</v>
      </c>
      <c r="C735" s="196">
        <v>2</v>
      </c>
      <c r="D735" s="118">
        <v>7</v>
      </c>
      <c r="E735" s="197">
        <v>106469.44</v>
      </c>
      <c r="F735" s="94" t="s">
        <v>161</v>
      </c>
      <c r="G735" s="95" t="s">
        <v>1610</v>
      </c>
      <c r="H735" s="16">
        <v>6</v>
      </c>
      <c r="I735" s="17">
        <v>9164</v>
      </c>
      <c r="J735" s="17"/>
      <c r="K735" s="17"/>
      <c r="L735" s="419">
        <f t="shared" si="33"/>
        <v>54984</v>
      </c>
      <c r="M735" s="17"/>
      <c r="N735" s="129"/>
    </row>
    <row r="736" spans="1:14" ht="15">
      <c r="A736" t="s">
        <v>87</v>
      </c>
      <c r="B736" s="196">
        <v>4</v>
      </c>
      <c r="C736" s="196">
        <v>2</v>
      </c>
      <c r="D736" s="118">
        <v>1</v>
      </c>
      <c r="E736" s="197">
        <v>26564</v>
      </c>
      <c r="F736" s="401" t="s">
        <v>295</v>
      </c>
      <c r="G736" s="95" t="s">
        <v>1610</v>
      </c>
      <c r="H736" s="11"/>
      <c r="I736" s="12"/>
      <c r="J736" s="12"/>
      <c r="K736" s="12"/>
      <c r="L736" s="422"/>
      <c r="M736" s="17"/>
      <c r="N736" s="129"/>
    </row>
    <row r="737" spans="1:14" ht="14.25">
      <c r="A737" t="s">
        <v>1468</v>
      </c>
      <c r="B737" s="196">
        <v>4</v>
      </c>
      <c r="C737" s="196">
        <v>2</v>
      </c>
      <c r="D737" s="120">
        <v>6</v>
      </c>
      <c r="E737" s="197">
        <v>54984</v>
      </c>
      <c r="F737" s="94" t="s">
        <v>221</v>
      </c>
      <c r="G737" s="95" t="s">
        <v>1545</v>
      </c>
      <c r="H737" s="16"/>
      <c r="I737" s="17"/>
      <c r="J737" s="17"/>
      <c r="K737" s="17"/>
      <c r="L737" s="419"/>
      <c r="M737" s="17"/>
      <c r="N737" s="129"/>
    </row>
    <row r="738" spans="1:14" ht="15">
      <c r="A738" t="s">
        <v>88</v>
      </c>
      <c r="B738" s="196">
        <v>4</v>
      </c>
      <c r="C738" s="196">
        <v>2</v>
      </c>
      <c r="D738" s="120"/>
      <c r="E738" s="197"/>
      <c r="F738" s="83" t="s">
        <v>1038</v>
      </c>
      <c r="G738" s="95" t="s">
        <v>1610</v>
      </c>
      <c r="H738" s="16">
        <v>5</v>
      </c>
      <c r="I738" s="17">
        <v>200</v>
      </c>
      <c r="J738" s="17"/>
      <c r="K738" s="17"/>
      <c r="L738" s="419">
        <f>(H738*I738)</f>
        <v>1000</v>
      </c>
      <c r="M738" s="13"/>
      <c r="N738" s="318"/>
    </row>
    <row r="739" spans="1:14" ht="15">
      <c r="A739" t="s">
        <v>1469</v>
      </c>
      <c r="B739" s="196">
        <v>4</v>
      </c>
      <c r="C739" s="196">
        <v>2</v>
      </c>
      <c r="D739" s="120"/>
      <c r="E739" s="154"/>
      <c r="F739" s="97" t="s">
        <v>296</v>
      </c>
      <c r="G739" s="15" t="s">
        <v>649</v>
      </c>
      <c r="H739" s="11"/>
      <c r="I739" s="12"/>
      <c r="J739" s="12"/>
      <c r="K739" s="12"/>
      <c r="L739" s="422"/>
      <c r="M739" s="17"/>
      <c r="N739" s="129"/>
    </row>
    <row r="740" spans="1:14" ht="14.25">
      <c r="A740" t="s">
        <v>89</v>
      </c>
      <c r="B740" s="196">
        <v>4</v>
      </c>
      <c r="C740" s="196">
        <v>2</v>
      </c>
      <c r="D740" s="120">
        <v>5</v>
      </c>
      <c r="E740" s="197">
        <v>1000</v>
      </c>
      <c r="F740" s="94" t="s">
        <v>281</v>
      </c>
      <c r="G740" s="93" t="s">
        <v>1545</v>
      </c>
      <c r="H740" s="16"/>
      <c r="I740" s="17"/>
      <c r="J740" s="17"/>
      <c r="K740" s="17"/>
      <c r="L740" s="419"/>
      <c r="M740" s="17"/>
      <c r="N740" s="129"/>
    </row>
    <row r="741" spans="1:14" ht="15">
      <c r="A741" t="s">
        <v>89</v>
      </c>
      <c r="B741" s="196">
        <v>4</v>
      </c>
      <c r="C741" s="196">
        <v>2</v>
      </c>
      <c r="D741" s="120"/>
      <c r="E741" s="197"/>
      <c r="F741" s="14" t="s">
        <v>1039</v>
      </c>
      <c r="G741" s="95" t="s">
        <v>1540</v>
      </c>
      <c r="H741" s="16">
        <v>5</v>
      </c>
      <c r="I741" s="17">
        <v>2320</v>
      </c>
      <c r="J741" s="17"/>
      <c r="K741" s="17"/>
      <c r="L741" s="419">
        <f aca="true" t="shared" si="34" ref="L741:L772">(H741*I741)</f>
        <v>11600</v>
      </c>
      <c r="M741" s="13"/>
      <c r="N741" s="318"/>
    </row>
    <row r="742" spans="1:14" ht="14.25">
      <c r="A742" t="s">
        <v>90</v>
      </c>
      <c r="B742" s="196">
        <v>4</v>
      </c>
      <c r="C742" s="196">
        <v>2</v>
      </c>
      <c r="D742" s="120"/>
      <c r="E742" s="197"/>
      <c r="F742" s="405" t="s">
        <v>7</v>
      </c>
      <c r="G742" s="15" t="s">
        <v>721</v>
      </c>
      <c r="H742" s="16">
        <v>1</v>
      </c>
      <c r="I742" s="17">
        <v>4652</v>
      </c>
      <c r="J742" s="17"/>
      <c r="K742" s="17"/>
      <c r="L742" s="419">
        <f t="shared" si="34"/>
        <v>4652</v>
      </c>
      <c r="M742" s="17"/>
      <c r="N742" s="129"/>
    </row>
    <row r="743" spans="1:14" ht="14.25">
      <c r="A743" t="s">
        <v>91</v>
      </c>
      <c r="B743" s="196">
        <v>4</v>
      </c>
      <c r="C743" s="196">
        <v>2</v>
      </c>
      <c r="D743" s="133">
        <v>1</v>
      </c>
      <c r="E743" s="223">
        <v>62000</v>
      </c>
      <c r="F743" s="94" t="s">
        <v>1571</v>
      </c>
      <c r="G743" s="95" t="s">
        <v>1610</v>
      </c>
      <c r="H743" s="622">
        <v>1</v>
      </c>
      <c r="I743" s="656">
        <v>11350</v>
      </c>
      <c r="J743" s="17"/>
      <c r="K743" s="17"/>
      <c r="L743" s="419">
        <f t="shared" si="34"/>
        <v>11350</v>
      </c>
      <c r="M743" s="17"/>
      <c r="N743" s="129"/>
    </row>
    <row r="744" spans="1:14" ht="14.25">
      <c r="A744" t="s">
        <v>35</v>
      </c>
      <c r="B744" s="196">
        <v>4</v>
      </c>
      <c r="C744" s="196">
        <v>2</v>
      </c>
      <c r="D744" s="133">
        <v>6</v>
      </c>
      <c r="E744" s="223">
        <v>712008</v>
      </c>
      <c r="F744" s="564" t="s">
        <v>1651</v>
      </c>
      <c r="G744" s="533" t="s">
        <v>509</v>
      </c>
      <c r="H744" s="622">
        <v>1</v>
      </c>
      <c r="I744" s="656">
        <v>56000</v>
      </c>
      <c r="J744" s="17"/>
      <c r="K744" s="17"/>
      <c r="L744" s="419">
        <f t="shared" si="34"/>
        <v>56000</v>
      </c>
      <c r="M744" s="17"/>
      <c r="N744" s="129"/>
    </row>
    <row r="745" spans="1:14" ht="14.25">
      <c r="A745" t="s">
        <v>35</v>
      </c>
      <c r="B745" s="196">
        <v>4</v>
      </c>
      <c r="C745" s="196">
        <v>2</v>
      </c>
      <c r="D745" s="133">
        <v>1</v>
      </c>
      <c r="E745" s="197">
        <v>4652</v>
      </c>
      <c r="F745" s="564" t="s">
        <v>1652</v>
      </c>
      <c r="G745" s="533" t="s">
        <v>509</v>
      </c>
      <c r="H745" s="623">
        <v>5</v>
      </c>
      <c r="I745" s="638">
        <v>49650</v>
      </c>
      <c r="J745" s="17"/>
      <c r="K745" s="17"/>
      <c r="L745" s="419">
        <f t="shared" si="34"/>
        <v>248250</v>
      </c>
      <c r="M745" s="17"/>
      <c r="N745" s="129"/>
    </row>
    <row r="746" spans="1:14" ht="14.25">
      <c r="A746" t="s">
        <v>1468</v>
      </c>
      <c r="B746" s="196">
        <v>4</v>
      </c>
      <c r="C746" s="196">
        <v>2</v>
      </c>
      <c r="D746" s="120">
        <v>5</v>
      </c>
      <c r="E746" s="197">
        <v>11600</v>
      </c>
      <c r="F746" s="108" t="s">
        <v>1666</v>
      </c>
      <c r="G746" s="15"/>
      <c r="H746" s="623">
        <v>5</v>
      </c>
      <c r="I746" s="638">
        <v>54980</v>
      </c>
      <c r="J746" s="17"/>
      <c r="K746" s="17"/>
      <c r="L746" s="419">
        <f t="shared" si="34"/>
        <v>274900</v>
      </c>
      <c r="M746" s="17"/>
      <c r="N746" s="129"/>
    </row>
    <row r="747" spans="1:14" ht="14.25">
      <c r="A747" t="s">
        <v>91</v>
      </c>
      <c r="B747" s="196">
        <v>4</v>
      </c>
      <c r="C747" s="196">
        <v>2</v>
      </c>
      <c r="D747" s="133">
        <v>4</v>
      </c>
      <c r="E747" s="223">
        <v>278400</v>
      </c>
      <c r="F747" s="108" t="s">
        <v>182</v>
      </c>
      <c r="G747" s="109" t="s">
        <v>1610</v>
      </c>
      <c r="H747" s="16">
        <v>1</v>
      </c>
      <c r="I747" s="146">
        <v>58240</v>
      </c>
      <c r="J747" s="17"/>
      <c r="K747" s="17"/>
      <c r="L747" s="419">
        <f t="shared" si="34"/>
        <v>58240</v>
      </c>
      <c r="M747" s="17"/>
      <c r="N747" s="129"/>
    </row>
    <row r="748" spans="1:14" ht="14.25">
      <c r="A748" t="s">
        <v>91</v>
      </c>
      <c r="B748" s="196">
        <v>4</v>
      </c>
      <c r="C748" s="196">
        <v>2</v>
      </c>
      <c r="D748" s="133">
        <v>1</v>
      </c>
      <c r="E748" s="223">
        <v>58240</v>
      </c>
      <c r="F748" s="94" t="s">
        <v>184</v>
      </c>
      <c r="G748" s="109" t="s">
        <v>1610</v>
      </c>
      <c r="H748" s="16">
        <v>1</v>
      </c>
      <c r="I748" s="146">
        <v>62000</v>
      </c>
      <c r="J748" s="17"/>
      <c r="K748" s="17"/>
      <c r="L748" s="419">
        <f t="shared" si="34"/>
        <v>62000</v>
      </c>
      <c r="M748" s="17"/>
      <c r="N748" s="129"/>
    </row>
    <row r="749" spans="1:14" ht="14.25">
      <c r="A749" t="s">
        <v>91</v>
      </c>
      <c r="B749" s="196">
        <v>4</v>
      </c>
      <c r="C749" s="196">
        <v>2</v>
      </c>
      <c r="D749" s="133">
        <v>2</v>
      </c>
      <c r="E749" s="223">
        <v>175160</v>
      </c>
      <c r="F749" s="94" t="s">
        <v>183</v>
      </c>
      <c r="G749" s="95" t="s">
        <v>1610</v>
      </c>
      <c r="H749" s="16">
        <v>1</v>
      </c>
      <c r="I749" s="146">
        <v>60000</v>
      </c>
      <c r="J749" s="17"/>
      <c r="K749" s="17"/>
      <c r="L749" s="419">
        <f t="shared" si="34"/>
        <v>60000</v>
      </c>
      <c r="M749" s="17"/>
      <c r="N749" s="129"/>
    </row>
    <row r="750" spans="1:14" ht="14.25">
      <c r="A750" t="s">
        <v>91</v>
      </c>
      <c r="B750" s="196">
        <v>4</v>
      </c>
      <c r="C750" s="196">
        <v>2</v>
      </c>
      <c r="D750" s="133">
        <v>1</v>
      </c>
      <c r="E750" s="223">
        <v>56000</v>
      </c>
      <c r="F750" s="94" t="s">
        <v>1119</v>
      </c>
      <c r="G750" s="95" t="s">
        <v>1610</v>
      </c>
      <c r="H750" s="16">
        <v>2</v>
      </c>
      <c r="I750" s="146">
        <v>87580</v>
      </c>
      <c r="J750" s="17"/>
      <c r="K750" s="17"/>
      <c r="L750" s="419">
        <f t="shared" si="34"/>
        <v>175160</v>
      </c>
      <c r="M750" s="17"/>
      <c r="N750" s="129"/>
    </row>
    <row r="751" spans="1:14" ht="14.25">
      <c r="A751" t="s">
        <v>92</v>
      </c>
      <c r="B751" s="196">
        <v>4</v>
      </c>
      <c r="C751" s="196">
        <v>2</v>
      </c>
      <c r="D751" s="133">
        <v>1</v>
      </c>
      <c r="E751" s="223">
        <v>60000</v>
      </c>
      <c r="F751" s="94" t="s">
        <v>1423</v>
      </c>
      <c r="G751" s="95"/>
      <c r="H751" s="16">
        <v>1</v>
      </c>
      <c r="I751" s="145">
        <v>4748</v>
      </c>
      <c r="J751" s="17"/>
      <c r="K751" s="17"/>
      <c r="L751" s="419">
        <f t="shared" si="34"/>
        <v>4748</v>
      </c>
      <c r="M751" s="17"/>
      <c r="N751" s="129"/>
    </row>
    <row r="752" spans="1:14" ht="14.25">
      <c r="A752" s="404" t="s">
        <v>30</v>
      </c>
      <c r="B752" s="196">
        <v>4</v>
      </c>
      <c r="C752" s="196">
        <v>2</v>
      </c>
      <c r="D752" s="133">
        <v>1</v>
      </c>
      <c r="E752" s="223">
        <v>11350</v>
      </c>
      <c r="F752" s="94" t="s">
        <v>1425</v>
      </c>
      <c r="G752" s="15"/>
      <c r="H752" s="16">
        <v>1</v>
      </c>
      <c r="I752" s="145">
        <v>4760</v>
      </c>
      <c r="J752" s="17"/>
      <c r="K752" s="17"/>
      <c r="L752" s="419">
        <f t="shared" si="34"/>
        <v>4760</v>
      </c>
      <c r="M752" s="17"/>
      <c r="N752" s="129"/>
    </row>
    <row r="753" spans="1:14" ht="14.25">
      <c r="A753" s="404" t="s">
        <v>30</v>
      </c>
      <c r="B753" s="196">
        <v>4</v>
      </c>
      <c r="C753" s="196">
        <v>2</v>
      </c>
      <c r="D753" s="133">
        <v>1</v>
      </c>
      <c r="E753" s="197">
        <v>4748</v>
      </c>
      <c r="F753" s="108" t="s">
        <v>1424</v>
      </c>
      <c r="G753" s="15"/>
      <c r="H753" s="16">
        <v>1</v>
      </c>
      <c r="I753" s="145">
        <v>4772</v>
      </c>
      <c r="J753" s="17"/>
      <c r="K753" s="17"/>
      <c r="L753" s="419">
        <f t="shared" si="34"/>
        <v>4772</v>
      </c>
      <c r="M753" s="17"/>
      <c r="N753" s="129"/>
    </row>
    <row r="754" spans="1:14" ht="14.25">
      <c r="A754" s="404" t="s">
        <v>30</v>
      </c>
      <c r="B754" s="196">
        <v>4</v>
      </c>
      <c r="C754" s="196">
        <v>2</v>
      </c>
      <c r="D754" s="133">
        <v>1</v>
      </c>
      <c r="E754" s="197">
        <v>4760</v>
      </c>
      <c r="F754" s="406" t="s">
        <v>1527</v>
      </c>
      <c r="G754" s="71"/>
      <c r="H754" s="118">
        <v>1</v>
      </c>
      <c r="I754" s="136">
        <v>36000</v>
      </c>
      <c r="J754" s="17"/>
      <c r="K754" s="17"/>
      <c r="L754" s="419">
        <f t="shared" si="34"/>
        <v>36000</v>
      </c>
      <c r="M754" s="17"/>
      <c r="N754" s="129"/>
    </row>
    <row r="755" spans="1:14" ht="14.25">
      <c r="A755" t="s">
        <v>93</v>
      </c>
      <c r="B755" s="196">
        <v>4</v>
      </c>
      <c r="C755" s="196">
        <v>2</v>
      </c>
      <c r="D755" s="133">
        <v>1</v>
      </c>
      <c r="E755" s="197">
        <v>4772</v>
      </c>
      <c r="F755" s="406" t="s">
        <v>1528</v>
      </c>
      <c r="G755" s="15" t="s">
        <v>649</v>
      </c>
      <c r="H755" s="118">
        <v>1</v>
      </c>
      <c r="I755" s="136">
        <v>37000</v>
      </c>
      <c r="J755" s="17"/>
      <c r="K755" s="17"/>
      <c r="L755" s="419">
        <f t="shared" si="34"/>
        <v>37000</v>
      </c>
      <c r="M755" s="17"/>
      <c r="N755" s="129"/>
    </row>
    <row r="756" spans="1:14" ht="14.25">
      <c r="A756" t="s">
        <v>93</v>
      </c>
      <c r="B756" s="196">
        <v>4</v>
      </c>
      <c r="C756" s="196">
        <v>2</v>
      </c>
      <c r="D756" s="120">
        <v>1</v>
      </c>
      <c r="E756" s="220">
        <v>36000</v>
      </c>
      <c r="F756" s="406" t="s">
        <v>1524</v>
      </c>
      <c r="G756" s="15" t="s">
        <v>649</v>
      </c>
      <c r="H756" s="118">
        <v>1</v>
      </c>
      <c r="I756" s="136">
        <v>38000</v>
      </c>
      <c r="J756" s="17"/>
      <c r="K756" s="17"/>
      <c r="L756" s="419">
        <f t="shared" si="34"/>
        <v>38000</v>
      </c>
      <c r="M756" s="17"/>
      <c r="N756" s="129"/>
    </row>
    <row r="757" spans="1:14" ht="14.25">
      <c r="A757" t="s">
        <v>93</v>
      </c>
      <c r="B757" s="196">
        <v>4</v>
      </c>
      <c r="C757" s="196">
        <v>2</v>
      </c>
      <c r="D757" s="120">
        <v>1</v>
      </c>
      <c r="E757" s="220">
        <v>37000</v>
      </c>
      <c r="F757" s="94" t="s">
        <v>294</v>
      </c>
      <c r="G757" s="15" t="s">
        <v>649</v>
      </c>
      <c r="H757" s="118">
        <v>1</v>
      </c>
      <c r="I757" s="136">
        <v>26360</v>
      </c>
      <c r="J757" s="17"/>
      <c r="K757" s="17"/>
      <c r="L757" s="419">
        <f t="shared" si="34"/>
        <v>26360</v>
      </c>
      <c r="M757" s="17"/>
      <c r="N757" s="129"/>
    </row>
    <row r="758" spans="1:14" ht="14.25">
      <c r="A758" t="s">
        <v>93</v>
      </c>
      <c r="B758" s="196">
        <v>4</v>
      </c>
      <c r="C758" s="196">
        <v>2</v>
      </c>
      <c r="D758" s="120">
        <v>1</v>
      </c>
      <c r="E758" s="220">
        <v>38000</v>
      </c>
      <c r="F758" s="94" t="s">
        <v>1529</v>
      </c>
      <c r="G758" s="15" t="s">
        <v>649</v>
      </c>
      <c r="H758" s="118">
        <v>1</v>
      </c>
      <c r="I758" s="136">
        <v>40000</v>
      </c>
      <c r="J758" s="17"/>
      <c r="K758" s="17"/>
      <c r="L758" s="419">
        <f t="shared" si="34"/>
        <v>40000</v>
      </c>
      <c r="M758" s="17"/>
      <c r="N758" s="129"/>
    </row>
    <row r="759" spans="1:14" ht="14.25">
      <c r="A759" t="s">
        <v>93</v>
      </c>
      <c r="B759" s="196">
        <v>4</v>
      </c>
      <c r="C759" s="196">
        <v>2</v>
      </c>
      <c r="D759" s="120">
        <v>1</v>
      </c>
      <c r="E759" s="220">
        <v>26360</v>
      </c>
      <c r="F759" s="94" t="s">
        <v>467</v>
      </c>
      <c r="G759" s="15" t="s">
        <v>649</v>
      </c>
      <c r="H759" s="16">
        <v>1</v>
      </c>
      <c r="I759" s="145">
        <v>4796</v>
      </c>
      <c r="J759" s="12"/>
      <c r="K759" s="12"/>
      <c r="L759" s="419">
        <f t="shared" si="34"/>
        <v>4796</v>
      </c>
      <c r="M759" s="17"/>
      <c r="N759" s="129"/>
    </row>
    <row r="760" spans="1:14" ht="14.25">
      <c r="A760" t="s">
        <v>94</v>
      </c>
      <c r="B760" s="196">
        <v>4</v>
      </c>
      <c r="C760" s="196">
        <v>2</v>
      </c>
      <c r="D760" s="120">
        <v>1</v>
      </c>
      <c r="E760" s="220">
        <v>40000</v>
      </c>
      <c r="F760" s="94" t="s">
        <v>466</v>
      </c>
      <c r="G760" s="95" t="s">
        <v>1610</v>
      </c>
      <c r="H760" s="16">
        <v>1</v>
      </c>
      <c r="I760" s="145">
        <v>4808</v>
      </c>
      <c r="J760" s="12"/>
      <c r="K760" s="12"/>
      <c r="L760" s="419">
        <f t="shared" si="34"/>
        <v>4808</v>
      </c>
      <c r="M760" s="17"/>
      <c r="N760" s="129"/>
    </row>
    <row r="761" spans="1:14" ht="14.25">
      <c r="A761" t="s">
        <v>94</v>
      </c>
      <c r="B761" s="196">
        <v>4</v>
      </c>
      <c r="C761" s="196">
        <v>2</v>
      </c>
      <c r="D761" s="133">
        <v>1</v>
      </c>
      <c r="E761" s="197">
        <v>4796</v>
      </c>
      <c r="F761" s="94" t="s">
        <v>437</v>
      </c>
      <c r="G761" s="95" t="s">
        <v>1610</v>
      </c>
      <c r="H761" s="16">
        <v>1</v>
      </c>
      <c r="I761" s="145">
        <v>4652</v>
      </c>
      <c r="J761" s="12"/>
      <c r="K761" s="12"/>
      <c r="L761" s="419">
        <f t="shared" si="34"/>
        <v>4652</v>
      </c>
      <c r="M761" s="17"/>
      <c r="N761" s="129"/>
    </row>
    <row r="762" spans="1:14" ht="14.25">
      <c r="A762" t="s">
        <v>94</v>
      </c>
      <c r="B762" s="196">
        <v>4</v>
      </c>
      <c r="C762" s="196">
        <v>2</v>
      </c>
      <c r="D762" s="133">
        <v>1</v>
      </c>
      <c r="E762" s="197">
        <v>4808</v>
      </c>
      <c r="F762" s="94" t="s">
        <v>438</v>
      </c>
      <c r="G762" s="95" t="s">
        <v>1610</v>
      </c>
      <c r="H762" s="119">
        <v>5</v>
      </c>
      <c r="I762" s="146">
        <v>4664</v>
      </c>
      <c r="J762" s="12"/>
      <c r="K762" s="12"/>
      <c r="L762" s="419">
        <f t="shared" si="34"/>
        <v>23320</v>
      </c>
      <c r="M762" s="17"/>
      <c r="N762" s="129"/>
    </row>
    <row r="763" spans="1:14" ht="14.25">
      <c r="A763" t="s">
        <v>94</v>
      </c>
      <c r="B763" s="196">
        <v>4</v>
      </c>
      <c r="C763" s="196">
        <v>2</v>
      </c>
      <c r="D763" s="133">
        <v>1</v>
      </c>
      <c r="E763" s="197">
        <v>4652</v>
      </c>
      <c r="F763" s="94" t="s">
        <v>439</v>
      </c>
      <c r="G763" s="95" t="s">
        <v>1610</v>
      </c>
      <c r="H763" s="119">
        <v>5</v>
      </c>
      <c r="I763" s="146">
        <v>4676</v>
      </c>
      <c r="J763" s="12"/>
      <c r="K763" s="12"/>
      <c r="L763" s="419">
        <f t="shared" si="34"/>
        <v>23380</v>
      </c>
      <c r="M763" s="17"/>
      <c r="N763" s="129"/>
    </row>
    <row r="764" spans="1:14" ht="14.25">
      <c r="A764" t="s">
        <v>94</v>
      </c>
      <c r="B764" s="196">
        <v>4</v>
      </c>
      <c r="C764" s="196">
        <v>2</v>
      </c>
      <c r="D764" s="133">
        <v>5</v>
      </c>
      <c r="E764" s="220">
        <v>23320</v>
      </c>
      <c r="F764" s="94" t="s">
        <v>440</v>
      </c>
      <c r="G764" s="95" t="s">
        <v>1610</v>
      </c>
      <c r="H764" s="119">
        <v>5</v>
      </c>
      <c r="I764" s="146">
        <v>4688</v>
      </c>
      <c r="J764" s="12"/>
      <c r="K764" s="12"/>
      <c r="L764" s="419">
        <f t="shared" si="34"/>
        <v>23440</v>
      </c>
      <c r="M764" s="17"/>
      <c r="N764" s="129"/>
    </row>
    <row r="765" spans="1:14" ht="14.25">
      <c r="A765" t="s">
        <v>94</v>
      </c>
      <c r="B765" s="196">
        <v>4</v>
      </c>
      <c r="C765" s="196">
        <v>2</v>
      </c>
      <c r="D765" s="133">
        <v>5</v>
      </c>
      <c r="E765" s="220">
        <v>23380</v>
      </c>
      <c r="F765" s="94" t="s">
        <v>462</v>
      </c>
      <c r="G765" s="95" t="s">
        <v>1610</v>
      </c>
      <c r="H765" s="119">
        <v>5</v>
      </c>
      <c r="I765" s="146">
        <v>4700</v>
      </c>
      <c r="J765" s="12"/>
      <c r="K765" s="12"/>
      <c r="L765" s="419">
        <f t="shared" si="34"/>
        <v>23500</v>
      </c>
      <c r="M765" s="17"/>
      <c r="N765" s="129"/>
    </row>
    <row r="766" spans="1:14" ht="14.25">
      <c r="A766" t="s">
        <v>94</v>
      </c>
      <c r="B766" s="196">
        <v>4</v>
      </c>
      <c r="C766" s="196">
        <v>2</v>
      </c>
      <c r="D766" s="133">
        <v>5</v>
      </c>
      <c r="E766" s="220">
        <v>23440</v>
      </c>
      <c r="F766" s="94" t="s">
        <v>463</v>
      </c>
      <c r="G766" s="95" t="s">
        <v>1610</v>
      </c>
      <c r="H766" s="119">
        <v>5</v>
      </c>
      <c r="I766" s="146">
        <v>4712</v>
      </c>
      <c r="J766" s="12"/>
      <c r="K766" s="12"/>
      <c r="L766" s="419">
        <f t="shared" si="34"/>
        <v>23560</v>
      </c>
      <c r="M766" s="17"/>
      <c r="N766" s="129"/>
    </row>
    <row r="767" spans="1:14" ht="14.25">
      <c r="A767" t="s">
        <v>94</v>
      </c>
      <c r="B767" s="196">
        <v>4</v>
      </c>
      <c r="C767" s="196">
        <v>2</v>
      </c>
      <c r="D767" s="133">
        <v>5</v>
      </c>
      <c r="E767" s="220">
        <v>23500</v>
      </c>
      <c r="F767" s="94" t="s">
        <v>464</v>
      </c>
      <c r="G767" s="95" t="s">
        <v>1610</v>
      </c>
      <c r="H767" s="119">
        <v>5</v>
      </c>
      <c r="I767" s="146">
        <v>4724</v>
      </c>
      <c r="J767" s="12"/>
      <c r="K767" s="12"/>
      <c r="L767" s="419">
        <f t="shared" si="34"/>
        <v>23620</v>
      </c>
      <c r="M767" s="17"/>
      <c r="N767" s="129"/>
    </row>
    <row r="768" spans="1:14" ht="14.25">
      <c r="A768" t="s">
        <v>94</v>
      </c>
      <c r="B768" s="196">
        <v>4</v>
      </c>
      <c r="C768" s="196">
        <v>2</v>
      </c>
      <c r="D768" s="133">
        <v>5</v>
      </c>
      <c r="E768" s="220">
        <v>23560</v>
      </c>
      <c r="F768" s="94" t="s">
        <v>311</v>
      </c>
      <c r="G768" s="95" t="s">
        <v>1610</v>
      </c>
      <c r="H768" s="119">
        <v>5</v>
      </c>
      <c r="I768" s="146">
        <v>4736</v>
      </c>
      <c r="J768" s="12"/>
      <c r="K768" s="12"/>
      <c r="L768" s="419">
        <f t="shared" si="34"/>
        <v>23680</v>
      </c>
      <c r="M768" s="17"/>
      <c r="N768" s="129"/>
    </row>
    <row r="769" spans="1:14" ht="14.25">
      <c r="A769" t="s">
        <v>94</v>
      </c>
      <c r="B769" s="196">
        <v>4</v>
      </c>
      <c r="C769" s="196">
        <v>2</v>
      </c>
      <c r="D769" s="133">
        <v>5</v>
      </c>
      <c r="E769" s="220">
        <v>23620</v>
      </c>
      <c r="F769" s="94" t="s">
        <v>426</v>
      </c>
      <c r="G769" s="95" t="s">
        <v>1610</v>
      </c>
      <c r="H769" s="119">
        <v>5</v>
      </c>
      <c r="I769" s="145">
        <v>4748</v>
      </c>
      <c r="J769" s="12"/>
      <c r="K769" s="12"/>
      <c r="L769" s="419">
        <f t="shared" si="34"/>
        <v>23740</v>
      </c>
      <c r="M769" s="17"/>
      <c r="N769" s="129"/>
    </row>
    <row r="770" spans="1:14" ht="14.25">
      <c r="A770" t="s">
        <v>94</v>
      </c>
      <c r="B770" s="196">
        <v>4</v>
      </c>
      <c r="C770" s="196">
        <v>2</v>
      </c>
      <c r="D770" s="133">
        <v>5</v>
      </c>
      <c r="E770" s="220">
        <v>23680</v>
      </c>
      <c r="F770" s="94" t="s">
        <v>427</v>
      </c>
      <c r="G770" s="95" t="s">
        <v>1610</v>
      </c>
      <c r="H770" s="119">
        <v>5</v>
      </c>
      <c r="I770" s="145">
        <v>4760</v>
      </c>
      <c r="J770" s="12"/>
      <c r="K770" s="12"/>
      <c r="L770" s="419">
        <f t="shared" si="34"/>
        <v>23800</v>
      </c>
      <c r="M770" s="17"/>
      <c r="N770" s="129"/>
    </row>
    <row r="771" spans="1:14" ht="14.25">
      <c r="A771" t="s">
        <v>94</v>
      </c>
      <c r="B771" s="196">
        <v>4</v>
      </c>
      <c r="C771" s="196">
        <v>2</v>
      </c>
      <c r="D771" s="133">
        <v>5</v>
      </c>
      <c r="E771" s="197">
        <v>23740</v>
      </c>
      <c r="F771" s="94" t="s">
        <v>428</v>
      </c>
      <c r="G771" s="95" t="s">
        <v>1610</v>
      </c>
      <c r="H771" s="119">
        <v>5</v>
      </c>
      <c r="I771" s="145">
        <v>4772</v>
      </c>
      <c r="J771" s="12"/>
      <c r="K771" s="12"/>
      <c r="L771" s="419">
        <f t="shared" si="34"/>
        <v>23860</v>
      </c>
      <c r="M771" s="17"/>
      <c r="N771" s="129"/>
    </row>
    <row r="772" spans="1:14" ht="14.25">
      <c r="A772" t="s">
        <v>94</v>
      </c>
      <c r="B772" s="196">
        <v>4</v>
      </c>
      <c r="C772" s="196">
        <v>2</v>
      </c>
      <c r="D772" s="133">
        <v>5</v>
      </c>
      <c r="E772" s="197">
        <v>23800</v>
      </c>
      <c r="F772" s="94" t="s">
        <v>429</v>
      </c>
      <c r="G772" s="95" t="s">
        <v>1610</v>
      </c>
      <c r="H772" s="119">
        <v>5</v>
      </c>
      <c r="I772" s="145">
        <v>4796</v>
      </c>
      <c r="J772" s="12"/>
      <c r="K772" s="12"/>
      <c r="L772" s="419">
        <f t="shared" si="34"/>
        <v>23980</v>
      </c>
      <c r="M772" s="17"/>
      <c r="N772" s="129"/>
    </row>
    <row r="773" spans="1:14" ht="14.25">
      <c r="A773" t="s">
        <v>94</v>
      </c>
      <c r="B773" s="196">
        <v>4</v>
      </c>
      <c r="C773" s="196">
        <v>2</v>
      </c>
      <c r="D773" s="133">
        <v>5</v>
      </c>
      <c r="E773" s="197">
        <v>23860</v>
      </c>
      <c r="F773" s="94" t="s">
        <v>430</v>
      </c>
      <c r="G773" s="95" t="s">
        <v>1610</v>
      </c>
      <c r="H773" s="119">
        <v>5</v>
      </c>
      <c r="I773" s="145">
        <v>4808</v>
      </c>
      <c r="J773" s="12"/>
      <c r="K773" s="12"/>
      <c r="L773" s="419">
        <f aca="true" t="shared" si="35" ref="L773:L809">(H773*I773)</f>
        <v>24040</v>
      </c>
      <c r="M773" s="17"/>
      <c r="N773" s="129"/>
    </row>
    <row r="774" spans="1:14" ht="14.25">
      <c r="A774" t="s">
        <v>94</v>
      </c>
      <c r="B774" s="196">
        <v>4</v>
      </c>
      <c r="C774" s="196">
        <v>2</v>
      </c>
      <c r="D774" s="133">
        <v>5</v>
      </c>
      <c r="E774" s="197">
        <v>23980</v>
      </c>
      <c r="F774" s="94" t="s">
        <v>431</v>
      </c>
      <c r="G774" s="95" t="s">
        <v>1610</v>
      </c>
      <c r="H774" s="119">
        <v>5</v>
      </c>
      <c r="I774" s="145">
        <v>4964</v>
      </c>
      <c r="J774" s="12"/>
      <c r="K774" s="12"/>
      <c r="L774" s="419">
        <f t="shared" si="35"/>
        <v>24820</v>
      </c>
      <c r="M774" s="17"/>
      <c r="N774" s="129"/>
    </row>
    <row r="775" spans="1:14" ht="14.25">
      <c r="A775" t="s">
        <v>94</v>
      </c>
      <c r="B775" s="196">
        <v>4</v>
      </c>
      <c r="C775" s="196">
        <v>2</v>
      </c>
      <c r="D775" s="133">
        <v>5</v>
      </c>
      <c r="E775" s="197">
        <v>24040</v>
      </c>
      <c r="F775" s="94" t="s">
        <v>432</v>
      </c>
      <c r="G775" s="95" t="s">
        <v>1610</v>
      </c>
      <c r="H775" s="119">
        <v>5</v>
      </c>
      <c r="I775" s="145">
        <v>4976</v>
      </c>
      <c r="J775" s="12"/>
      <c r="K775" s="12"/>
      <c r="L775" s="419">
        <f t="shared" si="35"/>
        <v>24880</v>
      </c>
      <c r="M775" s="17"/>
      <c r="N775" s="129"/>
    </row>
    <row r="776" spans="1:14" ht="14.25">
      <c r="A776" t="s">
        <v>94</v>
      </c>
      <c r="B776" s="196">
        <v>4</v>
      </c>
      <c r="C776" s="196">
        <v>2</v>
      </c>
      <c r="D776" s="133">
        <v>5</v>
      </c>
      <c r="E776" s="197">
        <v>24820</v>
      </c>
      <c r="F776" s="94" t="s">
        <v>310</v>
      </c>
      <c r="G776" s="95" t="s">
        <v>1610</v>
      </c>
      <c r="H776" s="119">
        <v>5</v>
      </c>
      <c r="I776" s="145">
        <v>5000</v>
      </c>
      <c r="J776" s="12"/>
      <c r="K776" s="12"/>
      <c r="L776" s="419">
        <f t="shared" si="35"/>
        <v>25000</v>
      </c>
      <c r="M776" s="17"/>
      <c r="N776" s="129"/>
    </row>
    <row r="777" spans="1:14" ht="14.25">
      <c r="A777" t="s">
        <v>94</v>
      </c>
      <c r="B777" s="196">
        <v>4</v>
      </c>
      <c r="C777" s="196">
        <v>2</v>
      </c>
      <c r="D777" s="133">
        <v>5</v>
      </c>
      <c r="E777" s="197">
        <v>24880</v>
      </c>
      <c r="F777" s="94" t="s">
        <v>310</v>
      </c>
      <c r="G777" s="95" t="s">
        <v>1610</v>
      </c>
      <c r="H777" s="119">
        <v>5</v>
      </c>
      <c r="I777" s="145">
        <v>5012</v>
      </c>
      <c r="J777" s="12"/>
      <c r="K777" s="12"/>
      <c r="L777" s="419">
        <f t="shared" si="35"/>
        <v>25060</v>
      </c>
      <c r="M777" s="17"/>
      <c r="N777" s="129"/>
    </row>
    <row r="778" spans="1:14" ht="14.25">
      <c r="A778" t="s">
        <v>94</v>
      </c>
      <c r="B778" s="196">
        <v>4</v>
      </c>
      <c r="C778" s="196">
        <v>2</v>
      </c>
      <c r="D778" s="133">
        <v>5</v>
      </c>
      <c r="E778" s="197">
        <v>25000</v>
      </c>
      <c r="F778" s="94" t="s">
        <v>433</v>
      </c>
      <c r="G778" s="95" t="s">
        <v>1610</v>
      </c>
      <c r="H778" s="119">
        <v>5</v>
      </c>
      <c r="I778" s="145">
        <v>2024</v>
      </c>
      <c r="J778" s="12"/>
      <c r="K778" s="12"/>
      <c r="L778" s="419">
        <f t="shared" si="35"/>
        <v>10120</v>
      </c>
      <c r="M778" s="17"/>
      <c r="N778" s="129"/>
    </row>
    <row r="779" spans="1:14" ht="14.25">
      <c r="A779" t="s">
        <v>94</v>
      </c>
      <c r="B779" s="196">
        <v>4</v>
      </c>
      <c r="C779" s="196">
        <v>2</v>
      </c>
      <c r="D779" s="133">
        <v>5</v>
      </c>
      <c r="E779" s="197">
        <v>25060</v>
      </c>
      <c r="F779" s="94" t="s">
        <v>434</v>
      </c>
      <c r="G779" s="95" t="s">
        <v>1610</v>
      </c>
      <c r="H779" s="119">
        <v>5</v>
      </c>
      <c r="I779" s="145">
        <v>5036</v>
      </c>
      <c r="J779" s="12"/>
      <c r="K779" s="12"/>
      <c r="L779" s="419">
        <f t="shared" si="35"/>
        <v>25180</v>
      </c>
      <c r="M779" s="17"/>
      <c r="N779" s="129"/>
    </row>
    <row r="780" spans="1:14" ht="14.25">
      <c r="A780" t="s">
        <v>94</v>
      </c>
      <c r="B780" s="196">
        <v>4</v>
      </c>
      <c r="C780" s="196">
        <v>2</v>
      </c>
      <c r="D780" s="133">
        <v>5</v>
      </c>
      <c r="E780" s="197">
        <v>10120</v>
      </c>
      <c r="F780" s="94" t="s">
        <v>435</v>
      </c>
      <c r="G780" s="95" t="s">
        <v>1610</v>
      </c>
      <c r="H780" s="119">
        <v>5</v>
      </c>
      <c r="I780" s="145">
        <v>5048</v>
      </c>
      <c r="J780" s="12"/>
      <c r="K780" s="12"/>
      <c r="L780" s="419">
        <f t="shared" si="35"/>
        <v>25240</v>
      </c>
      <c r="M780" s="17"/>
      <c r="N780" s="129"/>
    </row>
    <row r="781" spans="1:14" ht="14.25">
      <c r="A781" t="s">
        <v>94</v>
      </c>
      <c r="B781" s="196">
        <v>4</v>
      </c>
      <c r="C781" s="196">
        <v>2</v>
      </c>
      <c r="D781" s="133">
        <v>5</v>
      </c>
      <c r="E781" s="197">
        <v>25180</v>
      </c>
      <c r="F781" s="94" t="s">
        <v>465</v>
      </c>
      <c r="G781" s="95" t="s">
        <v>1610</v>
      </c>
      <c r="H781" s="119">
        <v>5</v>
      </c>
      <c r="I781" s="145">
        <v>5048</v>
      </c>
      <c r="J781" s="12"/>
      <c r="K781" s="12"/>
      <c r="L781" s="419">
        <f t="shared" si="35"/>
        <v>25240</v>
      </c>
      <c r="M781" s="17"/>
      <c r="N781" s="129"/>
    </row>
    <row r="782" spans="1:14" ht="14.25">
      <c r="A782" t="s">
        <v>94</v>
      </c>
      <c r="B782" s="196">
        <v>4</v>
      </c>
      <c r="C782" s="196">
        <v>2</v>
      </c>
      <c r="D782" s="133">
        <v>5</v>
      </c>
      <c r="E782" s="197">
        <v>25240</v>
      </c>
      <c r="F782" s="94" t="s">
        <v>436</v>
      </c>
      <c r="G782" s="95" t="s">
        <v>1610</v>
      </c>
      <c r="H782" s="119">
        <v>5</v>
      </c>
      <c r="I782" s="145">
        <v>5060</v>
      </c>
      <c r="J782" s="12"/>
      <c r="K782" s="12"/>
      <c r="L782" s="419">
        <f t="shared" si="35"/>
        <v>25300</v>
      </c>
      <c r="M782" s="17"/>
      <c r="N782" s="129"/>
    </row>
    <row r="783" spans="1:14" ht="14.25">
      <c r="A783" t="s">
        <v>94</v>
      </c>
      <c r="B783" s="196">
        <v>4</v>
      </c>
      <c r="C783" s="196">
        <v>2</v>
      </c>
      <c r="D783" s="133">
        <v>5</v>
      </c>
      <c r="E783" s="197">
        <v>25240</v>
      </c>
      <c r="F783" s="406" t="s">
        <v>297</v>
      </c>
      <c r="G783" s="95" t="s">
        <v>1610</v>
      </c>
      <c r="H783" s="119">
        <v>5</v>
      </c>
      <c r="I783" s="145">
        <v>5072</v>
      </c>
      <c r="J783" s="12"/>
      <c r="K783" s="12"/>
      <c r="L783" s="419">
        <f t="shared" si="35"/>
        <v>25360</v>
      </c>
      <c r="M783" s="17"/>
      <c r="N783" s="129"/>
    </row>
    <row r="784" spans="1:14" ht="14.25">
      <c r="A784" t="s">
        <v>1468</v>
      </c>
      <c r="B784" s="196">
        <v>4</v>
      </c>
      <c r="C784" s="196">
        <v>2</v>
      </c>
      <c r="D784" s="133">
        <v>5</v>
      </c>
      <c r="E784" s="197">
        <v>25300</v>
      </c>
      <c r="F784" s="94" t="s">
        <v>1533</v>
      </c>
      <c r="G784" s="95" t="s">
        <v>1545</v>
      </c>
      <c r="H784" s="534">
        <v>2</v>
      </c>
      <c r="I784" s="544">
        <v>134608</v>
      </c>
      <c r="J784" s="17"/>
      <c r="K784" s="17"/>
      <c r="L784" s="419">
        <f t="shared" si="35"/>
        <v>269216</v>
      </c>
      <c r="M784" s="17"/>
      <c r="N784" s="129"/>
    </row>
    <row r="785" spans="1:14" ht="14.25">
      <c r="A785" t="s">
        <v>1653</v>
      </c>
      <c r="B785" s="196">
        <v>4</v>
      </c>
      <c r="C785" s="196">
        <v>2</v>
      </c>
      <c r="D785" s="133">
        <v>5</v>
      </c>
      <c r="E785" s="197">
        <v>25360</v>
      </c>
      <c r="F785" s="564" t="s">
        <v>1654</v>
      </c>
      <c r="G785" s="533" t="s">
        <v>509</v>
      </c>
      <c r="H785" s="119">
        <v>5</v>
      </c>
      <c r="I785" s="145">
        <v>5096</v>
      </c>
      <c r="J785" s="17"/>
      <c r="K785" s="17"/>
      <c r="L785" s="419">
        <f t="shared" si="35"/>
        <v>25480</v>
      </c>
      <c r="M785" s="17"/>
      <c r="N785" s="129"/>
    </row>
    <row r="786" spans="1:14" ht="14.25">
      <c r="A786" t="s">
        <v>95</v>
      </c>
      <c r="B786" s="196">
        <v>4</v>
      </c>
      <c r="C786" s="196">
        <v>2</v>
      </c>
      <c r="D786" s="133">
        <v>5</v>
      </c>
      <c r="E786" s="197">
        <v>25480</v>
      </c>
      <c r="F786" s="94" t="s">
        <v>1530</v>
      </c>
      <c r="G786" s="15"/>
      <c r="H786" s="119">
        <v>5</v>
      </c>
      <c r="I786" s="145">
        <v>5108</v>
      </c>
      <c r="J786" s="17"/>
      <c r="K786" s="17"/>
      <c r="L786" s="419">
        <f t="shared" si="35"/>
        <v>25540</v>
      </c>
      <c r="M786" s="17"/>
      <c r="N786" s="129"/>
    </row>
    <row r="787" spans="1:14" ht="14.25">
      <c r="A787" t="s">
        <v>95</v>
      </c>
      <c r="B787" s="196">
        <v>4</v>
      </c>
      <c r="C787" s="196">
        <v>2</v>
      </c>
      <c r="D787" s="133">
        <v>5</v>
      </c>
      <c r="E787" s="197">
        <v>25420</v>
      </c>
      <c r="F787" s="94" t="s">
        <v>1120</v>
      </c>
      <c r="G787" s="15"/>
      <c r="H787" s="119">
        <v>5</v>
      </c>
      <c r="I787" s="145">
        <v>183744</v>
      </c>
      <c r="J787" s="17"/>
      <c r="K787" s="17"/>
      <c r="L787" s="419">
        <f t="shared" si="35"/>
        <v>918720</v>
      </c>
      <c r="M787" s="17"/>
      <c r="N787" s="129"/>
    </row>
    <row r="788" spans="1:14" ht="14.25">
      <c r="A788" t="s">
        <v>95</v>
      </c>
      <c r="B788" s="196">
        <v>4</v>
      </c>
      <c r="C788" s="196">
        <v>2</v>
      </c>
      <c r="D788" s="133">
        <v>5</v>
      </c>
      <c r="E788" s="197">
        <v>918720</v>
      </c>
      <c r="F788" s="14" t="s">
        <v>1041</v>
      </c>
      <c r="G788" s="15"/>
      <c r="H788" s="16">
        <v>1</v>
      </c>
      <c r="I788" s="17">
        <v>32890</v>
      </c>
      <c r="J788" s="17"/>
      <c r="K788" s="17"/>
      <c r="L788" s="419">
        <f t="shared" si="35"/>
        <v>32890</v>
      </c>
      <c r="M788" s="17"/>
      <c r="N788" s="129"/>
    </row>
    <row r="789" spans="1:14" ht="14.25">
      <c r="A789" s="404" t="s">
        <v>30</v>
      </c>
      <c r="B789" s="196">
        <v>4</v>
      </c>
      <c r="C789" s="196">
        <v>2</v>
      </c>
      <c r="D789" s="133">
        <v>5</v>
      </c>
      <c r="E789" s="197">
        <v>25540</v>
      </c>
      <c r="F789" s="14" t="s">
        <v>1180</v>
      </c>
      <c r="G789" s="15" t="s">
        <v>649</v>
      </c>
      <c r="H789" s="16">
        <v>10</v>
      </c>
      <c r="I789" s="17">
        <v>31250.4</v>
      </c>
      <c r="J789" s="17"/>
      <c r="K789" s="17"/>
      <c r="L789" s="419">
        <f t="shared" si="35"/>
        <v>312504</v>
      </c>
      <c r="M789" s="17"/>
      <c r="N789" s="129"/>
    </row>
    <row r="790" spans="1:14" ht="14.25">
      <c r="A790" s="404" t="s">
        <v>30</v>
      </c>
      <c r="B790" s="196">
        <v>4</v>
      </c>
      <c r="C790" s="196">
        <v>2</v>
      </c>
      <c r="D790" s="120">
        <v>1</v>
      </c>
      <c r="E790" s="197">
        <v>32890</v>
      </c>
      <c r="F790" s="83" t="s">
        <v>1042</v>
      </c>
      <c r="G790" s="15"/>
      <c r="H790" s="534">
        <v>40</v>
      </c>
      <c r="I790" s="544">
        <v>964</v>
      </c>
      <c r="J790" s="17"/>
      <c r="K790" s="17"/>
      <c r="L790" s="419">
        <f t="shared" si="35"/>
        <v>38560</v>
      </c>
      <c r="M790" s="17"/>
      <c r="N790" s="129"/>
    </row>
    <row r="791" spans="1:14" ht="14.25">
      <c r="A791" t="s">
        <v>900</v>
      </c>
      <c r="B791" s="196">
        <v>4</v>
      </c>
      <c r="C791" s="196">
        <v>2</v>
      </c>
      <c r="D791" s="120">
        <v>10</v>
      </c>
      <c r="E791" s="197">
        <v>312504</v>
      </c>
      <c r="F791" s="564" t="s">
        <v>319</v>
      </c>
      <c r="G791" s="533" t="s">
        <v>1631</v>
      </c>
      <c r="H791" s="133">
        <v>50</v>
      </c>
      <c r="I791" s="143">
        <v>1147.24</v>
      </c>
      <c r="J791" s="17"/>
      <c r="K791" s="17"/>
      <c r="L791" s="419">
        <f t="shared" si="35"/>
        <v>57362</v>
      </c>
      <c r="M791" s="17"/>
      <c r="N791" s="129"/>
    </row>
    <row r="792" spans="1:14" ht="15">
      <c r="A792" t="s">
        <v>96</v>
      </c>
      <c r="B792" s="196">
        <v>4</v>
      </c>
      <c r="C792" s="196">
        <v>2</v>
      </c>
      <c r="D792" s="120">
        <v>2</v>
      </c>
      <c r="E792" s="197">
        <v>1610000</v>
      </c>
      <c r="F792" s="94" t="s">
        <v>445</v>
      </c>
      <c r="G792" s="107" t="s">
        <v>1576</v>
      </c>
      <c r="H792" s="386">
        <v>5</v>
      </c>
      <c r="I792" s="387">
        <v>2900</v>
      </c>
      <c r="J792" s="17"/>
      <c r="K792" s="17"/>
      <c r="L792" s="419">
        <f t="shared" si="35"/>
        <v>14500</v>
      </c>
      <c r="M792" s="17"/>
      <c r="N792" s="129"/>
    </row>
    <row r="793" spans="1:14" ht="14.25">
      <c r="A793" t="s">
        <v>96</v>
      </c>
      <c r="B793" s="196">
        <v>4</v>
      </c>
      <c r="C793" s="196">
        <v>2</v>
      </c>
      <c r="D793" s="120">
        <v>50</v>
      </c>
      <c r="E793" s="197">
        <v>57362</v>
      </c>
      <c r="F793" s="14" t="s">
        <v>1043</v>
      </c>
      <c r="G793" s="95" t="s">
        <v>1610</v>
      </c>
      <c r="H793" s="133">
        <v>4</v>
      </c>
      <c r="I793" s="143">
        <v>15900</v>
      </c>
      <c r="J793" s="17"/>
      <c r="K793" s="17"/>
      <c r="L793" s="419">
        <f t="shared" si="35"/>
        <v>63600</v>
      </c>
      <c r="M793" s="17"/>
      <c r="N793" s="129"/>
    </row>
    <row r="794" spans="1:14" ht="14.25">
      <c r="A794" t="s">
        <v>96</v>
      </c>
      <c r="B794" s="196">
        <v>4</v>
      </c>
      <c r="C794" s="196">
        <v>2</v>
      </c>
      <c r="D794" s="120">
        <v>5</v>
      </c>
      <c r="E794" s="154">
        <v>14500</v>
      </c>
      <c r="F794" s="14" t="s">
        <v>1123</v>
      </c>
      <c r="G794" s="15" t="s">
        <v>977</v>
      </c>
      <c r="H794" s="133">
        <v>5</v>
      </c>
      <c r="I794" s="143">
        <v>9758.67</v>
      </c>
      <c r="J794" s="17"/>
      <c r="K794" s="17"/>
      <c r="L794" s="419">
        <f t="shared" si="35"/>
        <v>48793.35</v>
      </c>
      <c r="M794" s="17"/>
      <c r="N794" s="129"/>
    </row>
    <row r="795" spans="1:14" ht="14.25">
      <c r="A795" t="s">
        <v>96</v>
      </c>
      <c r="B795" s="196">
        <v>4</v>
      </c>
      <c r="C795" s="196">
        <v>2</v>
      </c>
      <c r="D795" s="120">
        <v>4</v>
      </c>
      <c r="E795" s="197">
        <v>63600</v>
      </c>
      <c r="F795" s="94" t="s">
        <v>416</v>
      </c>
      <c r="G795" s="15" t="s">
        <v>977</v>
      </c>
      <c r="H795" s="133">
        <v>3</v>
      </c>
      <c r="I795" s="143">
        <v>33060</v>
      </c>
      <c r="J795" s="17"/>
      <c r="K795" s="17"/>
      <c r="L795" s="419">
        <f t="shared" si="35"/>
        <v>99180</v>
      </c>
      <c r="M795" s="17"/>
      <c r="N795" s="129"/>
    </row>
    <row r="796" spans="1:14" ht="14.25">
      <c r="A796" t="s">
        <v>96</v>
      </c>
      <c r="B796" s="196">
        <v>4</v>
      </c>
      <c r="C796" s="196">
        <v>2</v>
      </c>
      <c r="D796" s="120">
        <v>3</v>
      </c>
      <c r="E796" s="154">
        <v>99180</v>
      </c>
      <c r="F796" s="94" t="s">
        <v>1045</v>
      </c>
      <c r="G796" s="95" t="s">
        <v>1610</v>
      </c>
      <c r="H796" s="16">
        <v>1</v>
      </c>
      <c r="I796" s="143">
        <v>37305.6</v>
      </c>
      <c r="J796" s="17"/>
      <c r="K796" s="17"/>
      <c r="L796" s="419">
        <f t="shared" si="35"/>
        <v>37305.6</v>
      </c>
      <c r="M796" s="17"/>
      <c r="N796" s="129"/>
    </row>
    <row r="797" spans="1:14" ht="14.25">
      <c r="A797" t="s">
        <v>96</v>
      </c>
      <c r="B797" s="196">
        <v>4</v>
      </c>
      <c r="C797" s="196">
        <v>2</v>
      </c>
      <c r="D797" s="120">
        <v>5</v>
      </c>
      <c r="E797" s="197">
        <v>48793.35</v>
      </c>
      <c r="F797" s="94" t="s">
        <v>446</v>
      </c>
      <c r="G797" s="95" t="s">
        <v>1577</v>
      </c>
      <c r="H797" s="225">
        <v>2</v>
      </c>
      <c r="I797" s="143">
        <v>24360</v>
      </c>
      <c r="J797" s="17"/>
      <c r="K797" s="17"/>
      <c r="L797" s="419">
        <f t="shared" si="35"/>
        <v>48720</v>
      </c>
      <c r="M797" s="17"/>
      <c r="N797" s="129"/>
    </row>
    <row r="798" spans="1:14" ht="14.25">
      <c r="A798" t="s">
        <v>96</v>
      </c>
      <c r="B798" s="196">
        <v>4</v>
      </c>
      <c r="C798" s="196">
        <v>2</v>
      </c>
      <c r="D798" s="120">
        <v>2</v>
      </c>
      <c r="E798" s="154">
        <v>48720</v>
      </c>
      <c r="F798" s="94" t="s">
        <v>1191</v>
      </c>
      <c r="G798" s="95"/>
      <c r="H798" s="133">
        <v>5</v>
      </c>
      <c r="I798" s="143">
        <v>21112</v>
      </c>
      <c r="J798" s="17"/>
      <c r="K798" s="17"/>
      <c r="L798" s="419">
        <f t="shared" si="35"/>
        <v>105560</v>
      </c>
      <c r="M798" s="17"/>
      <c r="N798" s="129"/>
    </row>
    <row r="799" spans="1:14" ht="14.25">
      <c r="A799" t="s">
        <v>30</v>
      </c>
      <c r="B799" s="196">
        <v>4</v>
      </c>
      <c r="C799" s="196">
        <v>2</v>
      </c>
      <c r="D799" s="120">
        <v>5</v>
      </c>
      <c r="E799" s="197">
        <v>21250</v>
      </c>
      <c r="F799" s="14" t="s">
        <v>75</v>
      </c>
      <c r="G799" s="15" t="s">
        <v>649</v>
      </c>
      <c r="H799" s="133">
        <v>1</v>
      </c>
      <c r="I799" s="143">
        <v>31300</v>
      </c>
      <c r="J799" s="17"/>
      <c r="K799" s="17"/>
      <c r="L799" s="419">
        <f t="shared" si="35"/>
        <v>31300</v>
      </c>
      <c r="M799" s="17"/>
      <c r="N799" s="129"/>
    </row>
    <row r="800" spans="1:14" ht="15">
      <c r="A800" s="404" t="s">
        <v>56</v>
      </c>
      <c r="B800" s="196">
        <v>4</v>
      </c>
      <c r="C800" s="196">
        <v>2</v>
      </c>
      <c r="D800" s="120">
        <v>5</v>
      </c>
      <c r="E800" s="197">
        <v>27500</v>
      </c>
      <c r="F800" s="112" t="s">
        <v>1593</v>
      </c>
      <c r="G800" s="15" t="s">
        <v>649</v>
      </c>
      <c r="H800" s="654">
        <v>1</v>
      </c>
      <c r="I800" s="640">
        <v>294000</v>
      </c>
      <c r="J800" s="17"/>
      <c r="K800" s="17"/>
      <c r="L800" s="419">
        <f t="shared" si="35"/>
        <v>294000</v>
      </c>
      <c r="M800" s="17"/>
      <c r="N800" s="129"/>
    </row>
    <row r="801" spans="1:14" ht="14.25">
      <c r="A801" s="404" t="s">
        <v>50</v>
      </c>
      <c r="B801" s="196">
        <v>4</v>
      </c>
      <c r="C801" s="196">
        <v>2</v>
      </c>
      <c r="D801" s="120">
        <v>3</v>
      </c>
      <c r="E801" s="197">
        <v>229524</v>
      </c>
      <c r="F801" s="593" t="s">
        <v>956</v>
      </c>
      <c r="G801" s="296" t="s">
        <v>1633</v>
      </c>
      <c r="H801" s="133">
        <v>5</v>
      </c>
      <c r="I801" s="143">
        <v>134228.24</v>
      </c>
      <c r="J801" s="17"/>
      <c r="K801" s="17"/>
      <c r="L801" s="419">
        <f t="shared" si="35"/>
        <v>671141.2</v>
      </c>
      <c r="M801" s="17"/>
      <c r="N801" s="129"/>
    </row>
    <row r="802" spans="1:14" ht="14.25">
      <c r="A802" s="404" t="s">
        <v>56</v>
      </c>
      <c r="B802" s="196"/>
      <c r="C802" s="196"/>
      <c r="D802" s="120"/>
      <c r="E802" s="197"/>
      <c r="F802" s="14" t="s">
        <v>1339</v>
      </c>
      <c r="G802" s="15"/>
      <c r="H802" s="16">
        <v>1</v>
      </c>
      <c r="I802" s="143">
        <v>69600</v>
      </c>
      <c r="J802" s="17"/>
      <c r="K802" s="17"/>
      <c r="L802" s="419">
        <f t="shared" si="35"/>
        <v>69600</v>
      </c>
      <c r="M802" s="17"/>
      <c r="N802" s="129"/>
    </row>
    <row r="803" spans="1:14" ht="14.25">
      <c r="A803" s="404" t="s">
        <v>56</v>
      </c>
      <c r="B803" s="196">
        <v>4</v>
      </c>
      <c r="C803" s="196">
        <v>2</v>
      </c>
      <c r="D803" s="120">
        <v>2</v>
      </c>
      <c r="E803" s="197">
        <v>127600</v>
      </c>
      <c r="F803" s="14" t="s">
        <v>1124</v>
      </c>
      <c r="G803" s="95"/>
      <c r="H803" s="133">
        <v>5</v>
      </c>
      <c r="I803" s="143">
        <v>10000</v>
      </c>
      <c r="J803" s="17"/>
      <c r="K803" s="17"/>
      <c r="L803" s="419">
        <f t="shared" si="35"/>
        <v>50000</v>
      </c>
      <c r="M803" s="17"/>
      <c r="N803" s="129"/>
    </row>
    <row r="804" spans="1:14" ht="14.25">
      <c r="A804" s="404" t="s">
        <v>56</v>
      </c>
      <c r="B804" s="196">
        <v>4</v>
      </c>
      <c r="C804" s="196">
        <v>2</v>
      </c>
      <c r="D804" s="120">
        <v>5</v>
      </c>
      <c r="E804" s="197">
        <v>50000</v>
      </c>
      <c r="F804" s="14" t="s">
        <v>1125</v>
      </c>
      <c r="G804" s="15" t="s">
        <v>977</v>
      </c>
      <c r="H804" s="133">
        <v>5</v>
      </c>
      <c r="I804" s="143">
        <v>5500</v>
      </c>
      <c r="J804" s="17"/>
      <c r="K804" s="17"/>
      <c r="L804" s="419">
        <f t="shared" si="35"/>
        <v>27500</v>
      </c>
      <c r="M804" s="17"/>
      <c r="N804" s="129"/>
    </row>
    <row r="805" spans="1:14" ht="14.25">
      <c r="A805" s="404" t="s">
        <v>56</v>
      </c>
      <c r="B805" s="196">
        <v>4</v>
      </c>
      <c r="C805" s="196">
        <v>2</v>
      </c>
      <c r="D805" s="120">
        <v>5</v>
      </c>
      <c r="E805" s="154">
        <v>105560</v>
      </c>
      <c r="F805" s="112" t="s">
        <v>417</v>
      </c>
      <c r="G805" s="95"/>
      <c r="H805" s="622">
        <v>2</v>
      </c>
      <c r="I805" s="639">
        <v>44660</v>
      </c>
      <c r="J805" s="17"/>
      <c r="K805" s="17"/>
      <c r="L805" s="419">
        <f t="shared" si="35"/>
        <v>89320</v>
      </c>
      <c r="M805" s="17"/>
      <c r="N805" s="129"/>
    </row>
    <row r="806" spans="1:14" ht="14.25">
      <c r="A806" t="s">
        <v>97</v>
      </c>
      <c r="B806" s="196">
        <v>4</v>
      </c>
      <c r="C806" s="196">
        <v>2</v>
      </c>
      <c r="D806" s="120">
        <v>1</v>
      </c>
      <c r="E806" s="154">
        <v>37305.6</v>
      </c>
      <c r="F806" s="592" t="s">
        <v>1567</v>
      </c>
      <c r="G806" s="617" t="s">
        <v>234</v>
      </c>
      <c r="H806" s="16">
        <v>2</v>
      </c>
      <c r="I806" s="143">
        <v>63800</v>
      </c>
      <c r="J806" s="17"/>
      <c r="K806" s="17"/>
      <c r="L806" s="419">
        <f t="shared" si="35"/>
        <v>127600</v>
      </c>
      <c r="M806" s="17"/>
      <c r="N806" s="129"/>
    </row>
    <row r="807" spans="1:14" ht="14.25">
      <c r="A807" s="404" t="s">
        <v>56</v>
      </c>
      <c r="B807" s="196"/>
      <c r="C807" s="196"/>
      <c r="D807" s="120"/>
      <c r="E807" s="197"/>
      <c r="F807" s="597" t="s">
        <v>423</v>
      </c>
      <c r="G807" s="15" t="s">
        <v>649</v>
      </c>
      <c r="H807" s="624">
        <v>7</v>
      </c>
      <c r="I807" s="640">
        <v>207600</v>
      </c>
      <c r="J807" s="17"/>
      <c r="K807" s="17"/>
      <c r="L807" s="419">
        <f t="shared" si="35"/>
        <v>1453200</v>
      </c>
      <c r="M807" s="17"/>
      <c r="N807" s="129"/>
    </row>
    <row r="808" spans="1:14" ht="14.25">
      <c r="A808" s="404" t="s">
        <v>56</v>
      </c>
      <c r="B808" s="196">
        <v>4</v>
      </c>
      <c r="C808" s="196">
        <v>2</v>
      </c>
      <c r="D808" s="120">
        <v>2</v>
      </c>
      <c r="E808" s="197">
        <v>89320</v>
      </c>
      <c r="F808" s="14" t="s">
        <v>755</v>
      </c>
      <c r="G808" s="15" t="s">
        <v>977</v>
      </c>
      <c r="H808" s="225">
        <v>4</v>
      </c>
      <c r="I808" s="639">
        <v>40368</v>
      </c>
      <c r="J808" s="17"/>
      <c r="K808" s="17"/>
      <c r="L808" s="419">
        <f t="shared" si="35"/>
        <v>161472</v>
      </c>
      <c r="M808" s="17"/>
      <c r="N808" s="129"/>
    </row>
    <row r="809" spans="1:14" ht="15">
      <c r="A809" s="404" t="s">
        <v>56</v>
      </c>
      <c r="B809" s="196">
        <v>4</v>
      </c>
      <c r="C809" s="196">
        <v>2</v>
      </c>
      <c r="D809" s="120">
        <v>4</v>
      </c>
      <c r="E809" s="197">
        <v>161472</v>
      </c>
      <c r="F809" s="72" t="s">
        <v>1126</v>
      </c>
      <c r="G809" s="15" t="s">
        <v>977</v>
      </c>
      <c r="H809" s="133">
        <v>0</v>
      </c>
      <c r="I809" s="143">
        <v>52200</v>
      </c>
      <c r="J809" s="17"/>
      <c r="K809" s="17"/>
      <c r="L809" s="419">
        <f t="shared" si="35"/>
        <v>0</v>
      </c>
      <c r="M809" s="17"/>
      <c r="N809" s="129"/>
    </row>
    <row r="810" spans="1:14" ht="15">
      <c r="A810" s="568" t="s">
        <v>56</v>
      </c>
      <c r="B810" s="196">
        <v>4</v>
      </c>
      <c r="C810" s="196">
        <v>2</v>
      </c>
      <c r="D810" s="120">
        <v>1</v>
      </c>
      <c r="E810" s="197">
        <v>69600</v>
      </c>
      <c r="F810" s="83" t="s">
        <v>1619</v>
      </c>
      <c r="G810" s="15"/>
      <c r="H810" s="133">
        <v>3</v>
      </c>
      <c r="I810" s="129">
        <v>69600</v>
      </c>
      <c r="J810" s="17"/>
      <c r="K810" s="17"/>
      <c r="L810" s="419"/>
      <c r="M810" s="17"/>
      <c r="N810" s="129" t="s">
        <v>1368</v>
      </c>
    </row>
    <row r="811" spans="1:14" ht="15">
      <c r="A811" s="404" t="s">
        <v>56</v>
      </c>
      <c r="B811" s="196">
        <v>4</v>
      </c>
      <c r="C811" s="196">
        <v>2</v>
      </c>
      <c r="D811" s="120">
        <v>2</v>
      </c>
      <c r="E811" s="197">
        <v>109889.12</v>
      </c>
      <c r="F811" s="651" t="s">
        <v>1172</v>
      </c>
      <c r="G811" s="15"/>
      <c r="H811" s="622">
        <v>3</v>
      </c>
      <c r="I811" s="546">
        <v>34500</v>
      </c>
      <c r="J811" s="17"/>
      <c r="K811" s="17"/>
      <c r="L811" s="419">
        <f aca="true" t="shared" si="36" ref="L811:L852">(H811*I811)</f>
        <v>103500</v>
      </c>
      <c r="M811" s="17"/>
      <c r="N811" s="129"/>
    </row>
    <row r="812" spans="1:14" ht="14.25">
      <c r="A812" s="591" t="s">
        <v>1620</v>
      </c>
      <c r="B812" s="196">
        <v>4</v>
      </c>
      <c r="C812" s="196">
        <v>2</v>
      </c>
      <c r="D812" s="120">
        <v>2</v>
      </c>
      <c r="E812" s="197">
        <v>379320</v>
      </c>
      <c r="F812" s="599" t="s">
        <v>1127</v>
      </c>
      <c r="G812" s="614"/>
      <c r="H812" s="16">
        <v>3</v>
      </c>
      <c r="I812" s="17">
        <v>225040</v>
      </c>
      <c r="J812" s="17"/>
      <c r="K812" s="17"/>
      <c r="L812" s="419">
        <f t="shared" si="36"/>
        <v>675120</v>
      </c>
      <c r="M812" s="17"/>
      <c r="N812" s="129"/>
    </row>
    <row r="813" spans="1:14" ht="14.25">
      <c r="A813" t="s">
        <v>56</v>
      </c>
      <c r="B813" s="196"/>
      <c r="C813" s="196"/>
      <c r="D813" s="120"/>
      <c r="E813" s="197"/>
      <c r="F813" s="94" t="s">
        <v>254</v>
      </c>
      <c r="G813" s="15"/>
      <c r="H813" s="119">
        <v>10</v>
      </c>
      <c r="I813" s="114">
        <v>8100</v>
      </c>
      <c r="J813" s="17"/>
      <c r="K813" s="17"/>
      <c r="L813" s="419">
        <f t="shared" si="36"/>
        <v>81000</v>
      </c>
      <c r="M813" s="17"/>
      <c r="N813" s="129"/>
    </row>
    <row r="814" spans="1:14" ht="14.25">
      <c r="A814" t="s">
        <v>97</v>
      </c>
      <c r="B814" s="196">
        <v>4</v>
      </c>
      <c r="C814" s="196">
        <v>2</v>
      </c>
      <c r="D814" s="120">
        <v>5</v>
      </c>
      <c r="E814" s="197">
        <v>671141.2</v>
      </c>
      <c r="F814" s="14" t="s">
        <v>1128</v>
      </c>
      <c r="G814" s="95"/>
      <c r="H814" s="119">
        <v>10</v>
      </c>
      <c r="I814" s="17">
        <v>20300</v>
      </c>
      <c r="J814" s="17"/>
      <c r="K814" s="17"/>
      <c r="L814" s="419">
        <f t="shared" si="36"/>
        <v>203000</v>
      </c>
      <c r="M814" s="17"/>
      <c r="N814" s="129"/>
    </row>
    <row r="815" spans="1:14" ht="14.25">
      <c r="A815" s="404" t="s">
        <v>31</v>
      </c>
      <c r="B815" s="196">
        <v>4</v>
      </c>
      <c r="C815" s="196">
        <v>2</v>
      </c>
      <c r="D815" s="224">
        <v>10</v>
      </c>
      <c r="E815" s="219">
        <v>81000</v>
      </c>
      <c r="F815" s="14" t="s">
        <v>1173</v>
      </c>
      <c r="G815" s="15" t="s">
        <v>721</v>
      </c>
      <c r="H815" s="119">
        <v>10</v>
      </c>
      <c r="I815" s="17">
        <v>22620</v>
      </c>
      <c r="J815" s="17"/>
      <c r="K815" s="17"/>
      <c r="L815" s="419">
        <f t="shared" si="36"/>
        <v>226200</v>
      </c>
      <c r="M815" s="17"/>
      <c r="N815" s="129"/>
    </row>
    <row r="816" spans="1:14" ht="14.25">
      <c r="A816" s="404" t="s">
        <v>31</v>
      </c>
      <c r="B816" s="196">
        <v>4</v>
      </c>
      <c r="C816" s="196">
        <v>2</v>
      </c>
      <c r="D816" s="120">
        <v>10</v>
      </c>
      <c r="E816" s="197">
        <v>203000</v>
      </c>
      <c r="F816" s="94" t="s">
        <v>299</v>
      </c>
      <c r="G816" s="15" t="s">
        <v>721</v>
      </c>
      <c r="H816" s="119">
        <v>1</v>
      </c>
      <c r="I816" s="82">
        <v>101500</v>
      </c>
      <c r="J816" s="12"/>
      <c r="K816" s="12"/>
      <c r="L816" s="419">
        <f t="shared" si="36"/>
        <v>101500</v>
      </c>
      <c r="M816" s="17"/>
      <c r="N816" s="129"/>
    </row>
    <row r="817" spans="1:14" ht="14.25">
      <c r="A817" s="404" t="s">
        <v>31</v>
      </c>
      <c r="B817" s="196">
        <v>4</v>
      </c>
      <c r="C817" s="196">
        <v>2</v>
      </c>
      <c r="D817" s="120">
        <v>10</v>
      </c>
      <c r="E817" s="197">
        <v>226200</v>
      </c>
      <c r="F817" s="94" t="s">
        <v>1422</v>
      </c>
      <c r="G817" s="95" t="s">
        <v>1545</v>
      </c>
      <c r="H817" s="120">
        <v>10</v>
      </c>
      <c r="I817" s="90">
        <v>350</v>
      </c>
      <c r="J817" s="17"/>
      <c r="K817" s="17"/>
      <c r="L817" s="419">
        <f t="shared" si="36"/>
        <v>3500</v>
      </c>
      <c r="M817" s="17"/>
      <c r="N817" s="129"/>
    </row>
    <row r="818" spans="1:14" ht="14.25">
      <c r="A818" t="s">
        <v>98</v>
      </c>
      <c r="B818" s="196">
        <v>4</v>
      </c>
      <c r="C818" s="196">
        <v>2</v>
      </c>
      <c r="D818" s="120">
        <v>1</v>
      </c>
      <c r="E818" s="197">
        <v>101500</v>
      </c>
      <c r="F818" s="94" t="s">
        <v>1421</v>
      </c>
      <c r="G818" s="15" t="s">
        <v>649</v>
      </c>
      <c r="H818" s="120">
        <v>10</v>
      </c>
      <c r="I818" s="90">
        <v>355</v>
      </c>
      <c r="J818" s="17"/>
      <c r="K818" s="17"/>
      <c r="L818" s="419">
        <f t="shared" si="36"/>
        <v>3550</v>
      </c>
      <c r="M818" s="17"/>
      <c r="N818" s="129"/>
    </row>
    <row r="819" spans="1:14" ht="14.25">
      <c r="A819" t="s">
        <v>98</v>
      </c>
      <c r="B819" s="196">
        <v>4</v>
      </c>
      <c r="C819" s="196">
        <v>2</v>
      </c>
      <c r="D819" s="120">
        <v>10</v>
      </c>
      <c r="E819" s="220">
        <v>3500</v>
      </c>
      <c r="F819" s="406" t="s">
        <v>543</v>
      </c>
      <c r="G819" s="15" t="s">
        <v>649</v>
      </c>
      <c r="H819" s="119">
        <v>10</v>
      </c>
      <c r="I819" s="82">
        <v>2500</v>
      </c>
      <c r="J819" s="12"/>
      <c r="K819" s="12"/>
      <c r="L819" s="419">
        <f t="shared" si="36"/>
        <v>25000</v>
      </c>
      <c r="M819" s="17"/>
      <c r="N819" s="129"/>
    </row>
    <row r="820" spans="1:14" ht="14.25">
      <c r="A820" t="s">
        <v>1469</v>
      </c>
      <c r="B820" s="196">
        <v>4</v>
      </c>
      <c r="C820" s="196">
        <v>2</v>
      </c>
      <c r="D820" s="120">
        <v>10</v>
      </c>
      <c r="E820" s="220">
        <v>3550</v>
      </c>
      <c r="F820" s="406" t="s">
        <v>545</v>
      </c>
      <c r="G820" s="95" t="s">
        <v>1610</v>
      </c>
      <c r="H820" s="119">
        <v>10</v>
      </c>
      <c r="I820" s="82">
        <v>3000</v>
      </c>
      <c r="J820" s="12"/>
      <c r="K820" s="12"/>
      <c r="L820" s="419">
        <f t="shared" si="36"/>
        <v>30000</v>
      </c>
      <c r="M820" s="17"/>
      <c r="N820" s="129"/>
    </row>
    <row r="821" spans="1:14" ht="14.25">
      <c r="A821" t="s">
        <v>1469</v>
      </c>
      <c r="B821" s="196">
        <v>4</v>
      </c>
      <c r="C821" s="196">
        <v>2</v>
      </c>
      <c r="D821" s="120">
        <v>10</v>
      </c>
      <c r="E821" s="197">
        <v>25000</v>
      </c>
      <c r="F821" s="94" t="s">
        <v>303</v>
      </c>
      <c r="G821" s="95" t="s">
        <v>1610</v>
      </c>
      <c r="H821" s="119">
        <v>10</v>
      </c>
      <c r="I821" s="82">
        <v>3500</v>
      </c>
      <c r="J821" s="12"/>
      <c r="K821" s="12"/>
      <c r="L821" s="419">
        <f t="shared" si="36"/>
        <v>35000</v>
      </c>
      <c r="M821" s="17"/>
      <c r="N821" s="129"/>
    </row>
    <row r="822" spans="1:14" ht="14.25">
      <c r="A822" t="s">
        <v>99</v>
      </c>
      <c r="B822" s="196">
        <v>4</v>
      </c>
      <c r="C822" s="196">
        <v>2</v>
      </c>
      <c r="D822" s="120">
        <v>10</v>
      </c>
      <c r="E822" s="197">
        <v>30000</v>
      </c>
      <c r="F822" s="14" t="s">
        <v>1420</v>
      </c>
      <c r="G822" s="95" t="s">
        <v>1545</v>
      </c>
      <c r="H822" s="119">
        <v>10</v>
      </c>
      <c r="I822" s="134">
        <v>4000</v>
      </c>
      <c r="J822" s="17"/>
      <c r="K822" s="17"/>
      <c r="L822" s="419">
        <f t="shared" si="36"/>
        <v>40000</v>
      </c>
      <c r="M822" s="17"/>
      <c r="N822" s="129"/>
    </row>
    <row r="823" spans="1:14" ht="14.25">
      <c r="A823" t="s">
        <v>100</v>
      </c>
      <c r="B823" s="196">
        <v>4</v>
      </c>
      <c r="C823" s="196">
        <v>2</v>
      </c>
      <c r="D823" s="120">
        <v>10</v>
      </c>
      <c r="E823" s="197">
        <v>35000</v>
      </c>
      <c r="F823" s="14" t="s">
        <v>1129</v>
      </c>
      <c r="G823" s="15"/>
      <c r="H823" s="119">
        <v>2</v>
      </c>
      <c r="I823" s="17">
        <v>95000</v>
      </c>
      <c r="J823" s="17"/>
      <c r="K823" s="17"/>
      <c r="L823" s="419">
        <f t="shared" si="36"/>
        <v>190000</v>
      </c>
      <c r="M823" s="17"/>
      <c r="N823" s="129"/>
    </row>
    <row r="824" spans="1:14" ht="15">
      <c r="A824" t="s">
        <v>101</v>
      </c>
      <c r="B824" s="196">
        <v>4</v>
      </c>
      <c r="C824" s="196">
        <v>2</v>
      </c>
      <c r="D824" s="120">
        <v>10</v>
      </c>
      <c r="E824" s="197">
        <v>40000</v>
      </c>
      <c r="F824" s="94" t="s">
        <v>1594</v>
      </c>
      <c r="G824" s="15" t="s">
        <v>649</v>
      </c>
      <c r="H824" s="389">
        <v>1</v>
      </c>
      <c r="I824" s="388">
        <v>261000</v>
      </c>
      <c r="J824" s="12"/>
      <c r="K824" s="12"/>
      <c r="L824" s="419">
        <f t="shared" si="36"/>
        <v>261000</v>
      </c>
      <c r="M824" s="17"/>
      <c r="N824" s="129"/>
    </row>
    <row r="825" spans="1:14" ht="14.25">
      <c r="A825" t="s">
        <v>101</v>
      </c>
      <c r="B825" s="196">
        <v>4</v>
      </c>
      <c r="C825" s="196">
        <v>2</v>
      </c>
      <c r="D825" s="120">
        <v>2</v>
      </c>
      <c r="E825" s="197">
        <v>190000</v>
      </c>
      <c r="F825" s="94" t="s">
        <v>24</v>
      </c>
      <c r="G825" s="95" t="s">
        <v>1610</v>
      </c>
      <c r="H825" s="119">
        <v>10</v>
      </c>
      <c r="I825" s="90">
        <v>1200</v>
      </c>
      <c r="J825" s="17"/>
      <c r="K825" s="17"/>
      <c r="L825" s="419">
        <f t="shared" si="36"/>
        <v>12000</v>
      </c>
      <c r="M825" s="17"/>
      <c r="N825" s="129"/>
    </row>
    <row r="826" spans="1:14" ht="15">
      <c r="A826" t="s">
        <v>102</v>
      </c>
      <c r="B826" s="196">
        <v>4</v>
      </c>
      <c r="C826" s="196">
        <v>2</v>
      </c>
      <c r="D826" s="120">
        <v>1</v>
      </c>
      <c r="E826" s="197">
        <v>261000</v>
      </c>
      <c r="F826" s="94" t="s">
        <v>21</v>
      </c>
      <c r="G826" s="15"/>
      <c r="H826" s="119">
        <v>10</v>
      </c>
      <c r="I826" s="90">
        <v>1300</v>
      </c>
      <c r="J826" s="17"/>
      <c r="K826" s="17"/>
      <c r="L826" s="419">
        <f t="shared" si="36"/>
        <v>13000</v>
      </c>
      <c r="M826" s="17"/>
      <c r="N826" s="318"/>
    </row>
    <row r="827" spans="1:14" ht="14.25">
      <c r="A827" t="s">
        <v>102</v>
      </c>
      <c r="B827" s="196">
        <v>4</v>
      </c>
      <c r="C827" s="196">
        <v>2</v>
      </c>
      <c r="D827" s="225">
        <v>10</v>
      </c>
      <c r="E827" s="220">
        <v>12000</v>
      </c>
      <c r="F827" s="94" t="s">
        <v>23</v>
      </c>
      <c r="G827" s="15"/>
      <c r="H827" s="119">
        <v>10</v>
      </c>
      <c r="I827" s="90">
        <v>1450</v>
      </c>
      <c r="J827" s="17"/>
      <c r="K827" s="17"/>
      <c r="L827" s="419">
        <f t="shared" si="36"/>
        <v>14500</v>
      </c>
      <c r="M827" s="17"/>
      <c r="N827" s="129"/>
    </row>
    <row r="828" spans="1:14" ht="14.25">
      <c r="A828" t="s">
        <v>102</v>
      </c>
      <c r="B828" s="196">
        <v>4</v>
      </c>
      <c r="C828" s="196">
        <v>2</v>
      </c>
      <c r="D828" s="225">
        <v>10</v>
      </c>
      <c r="E828" s="220">
        <v>13000</v>
      </c>
      <c r="F828" s="94" t="s">
        <v>18</v>
      </c>
      <c r="G828" s="15"/>
      <c r="H828" s="119">
        <v>10</v>
      </c>
      <c r="I828" s="90">
        <v>1500</v>
      </c>
      <c r="J828" s="17"/>
      <c r="K828" s="17"/>
      <c r="L828" s="419">
        <f t="shared" si="36"/>
        <v>15000</v>
      </c>
      <c r="M828" s="17"/>
      <c r="N828" s="129"/>
    </row>
    <row r="829" spans="1:14" ht="14.25">
      <c r="A829" t="s">
        <v>102</v>
      </c>
      <c r="B829" s="196">
        <v>4</v>
      </c>
      <c r="C829" s="196">
        <v>2</v>
      </c>
      <c r="D829" s="225">
        <v>10</v>
      </c>
      <c r="E829" s="220">
        <v>14500</v>
      </c>
      <c r="F829" s="94" t="s">
        <v>19</v>
      </c>
      <c r="G829" s="15"/>
      <c r="H829" s="119">
        <v>10</v>
      </c>
      <c r="I829" s="90">
        <v>1550</v>
      </c>
      <c r="J829" s="17"/>
      <c r="K829" s="17"/>
      <c r="L829" s="419">
        <f t="shared" si="36"/>
        <v>15500</v>
      </c>
      <c r="M829" s="17"/>
      <c r="N829" s="129"/>
    </row>
    <row r="830" spans="1:14" ht="14.25">
      <c r="A830" t="s">
        <v>102</v>
      </c>
      <c r="B830" s="196">
        <v>4</v>
      </c>
      <c r="C830" s="196">
        <v>2</v>
      </c>
      <c r="D830" s="225">
        <v>10</v>
      </c>
      <c r="E830" s="220">
        <v>15000</v>
      </c>
      <c r="F830" s="94" t="s">
        <v>20</v>
      </c>
      <c r="G830" s="15"/>
      <c r="H830" s="119">
        <v>10</v>
      </c>
      <c r="I830" s="90">
        <v>1600</v>
      </c>
      <c r="J830" s="17"/>
      <c r="K830" s="17"/>
      <c r="L830" s="419">
        <f t="shared" si="36"/>
        <v>16000</v>
      </c>
      <c r="M830" s="17"/>
      <c r="N830" s="129"/>
    </row>
    <row r="831" spans="1:14" ht="14.25">
      <c r="A831" t="s">
        <v>102</v>
      </c>
      <c r="B831" s="196">
        <v>4</v>
      </c>
      <c r="C831" s="196">
        <v>2</v>
      </c>
      <c r="D831" s="225">
        <v>10</v>
      </c>
      <c r="E831" s="220">
        <v>15500</v>
      </c>
      <c r="F831" s="94" t="s">
        <v>22</v>
      </c>
      <c r="G831" s="15"/>
      <c r="H831" s="391">
        <v>2</v>
      </c>
      <c r="I831" s="390">
        <v>1682</v>
      </c>
      <c r="J831" s="17"/>
      <c r="K831" s="17"/>
      <c r="L831" s="419">
        <f t="shared" si="36"/>
        <v>3364</v>
      </c>
      <c r="M831" s="17"/>
      <c r="N831" s="129"/>
    </row>
    <row r="832" spans="1:14" ht="14.25">
      <c r="A832" t="s">
        <v>102</v>
      </c>
      <c r="B832" s="196">
        <v>4</v>
      </c>
      <c r="C832" s="196">
        <v>2</v>
      </c>
      <c r="D832" s="225">
        <v>10</v>
      </c>
      <c r="E832" s="220">
        <v>16000</v>
      </c>
      <c r="F832" s="94" t="s">
        <v>132</v>
      </c>
      <c r="G832" s="15"/>
      <c r="H832" s="119">
        <v>10</v>
      </c>
      <c r="I832" s="151">
        <v>1700</v>
      </c>
      <c r="J832" s="17"/>
      <c r="K832" s="17"/>
      <c r="L832" s="419">
        <f t="shared" si="36"/>
        <v>17000</v>
      </c>
      <c r="M832" s="17"/>
      <c r="N832" s="129"/>
    </row>
    <row r="833" spans="1:14" ht="14.25">
      <c r="A833" t="s">
        <v>102</v>
      </c>
      <c r="B833" s="196">
        <v>4</v>
      </c>
      <c r="C833" s="196">
        <v>2</v>
      </c>
      <c r="D833" s="225">
        <v>2</v>
      </c>
      <c r="E833" s="220">
        <v>3364</v>
      </c>
      <c r="F833" s="94" t="s">
        <v>131</v>
      </c>
      <c r="G833" s="15"/>
      <c r="H833" s="119">
        <v>10</v>
      </c>
      <c r="I833" s="151">
        <v>1750</v>
      </c>
      <c r="J833" s="17"/>
      <c r="K833" s="17"/>
      <c r="L833" s="419">
        <f t="shared" si="36"/>
        <v>17500</v>
      </c>
      <c r="M833" s="17"/>
      <c r="N833" s="129"/>
    </row>
    <row r="834" spans="1:14" ht="14.25">
      <c r="A834" t="s">
        <v>102</v>
      </c>
      <c r="B834" s="196">
        <v>4</v>
      </c>
      <c r="C834" s="196">
        <v>2</v>
      </c>
      <c r="D834" s="225">
        <v>10</v>
      </c>
      <c r="E834" s="220">
        <v>17000</v>
      </c>
      <c r="F834" s="94" t="s">
        <v>133</v>
      </c>
      <c r="G834" s="15"/>
      <c r="H834" s="119">
        <v>10</v>
      </c>
      <c r="I834" s="151">
        <v>1850</v>
      </c>
      <c r="J834" s="17"/>
      <c r="K834" s="17"/>
      <c r="L834" s="419">
        <f t="shared" si="36"/>
        <v>18500</v>
      </c>
      <c r="M834" s="17"/>
      <c r="N834" s="129"/>
    </row>
    <row r="835" spans="1:14" ht="14.25">
      <c r="A835" t="s">
        <v>102</v>
      </c>
      <c r="B835" s="196">
        <v>4</v>
      </c>
      <c r="C835" s="196">
        <v>2</v>
      </c>
      <c r="D835" s="225">
        <v>10</v>
      </c>
      <c r="E835" s="220">
        <v>17500</v>
      </c>
      <c r="F835" s="94" t="s">
        <v>130</v>
      </c>
      <c r="G835" s="15"/>
      <c r="H835" s="534">
        <v>15</v>
      </c>
      <c r="I835" s="544">
        <v>8240</v>
      </c>
      <c r="J835" s="17"/>
      <c r="K835" s="17"/>
      <c r="L835" s="419">
        <f t="shared" si="36"/>
        <v>123600</v>
      </c>
      <c r="M835" s="17"/>
      <c r="N835" s="129"/>
    </row>
    <row r="836" spans="1:14" ht="14.25">
      <c r="A836" t="s">
        <v>570</v>
      </c>
      <c r="B836" s="196">
        <v>4</v>
      </c>
      <c r="C836" s="196">
        <v>2</v>
      </c>
      <c r="D836" s="225">
        <v>10</v>
      </c>
      <c r="E836" s="220">
        <v>18500</v>
      </c>
      <c r="F836" s="564" t="s">
        <v>791</v>
      </c>
      <c r="G836" s="533" t="s">
        <v>509</v>
      </c>
      <c r="H836" s="119">
        <v>10</v>
      </c>
      <c r="I836" s="151">
        <v>1950</v>
      </c>
      <c r="J836" s="17"/>
      <c r="K836" s="17"/>
      <c r="L836" s="419">
        <f t="shared" si="36"/>
        <v>19500</v>
      </c>
      <c r="M836" s="17"/>
      <c r="N836" s="129"/>
    </row>
    <row r="837" spans="1:14" ht="14.25">
      <c r="A837" t="s">
        <v>102</v>
      </c>
      <c r="B837" s="196"/>
      <c r="C837" s="196"/>
      <c r="D837" s="225"/>
      <c r="E837" s="220"/>
      <c r="F837" s="94" t="s">
        <v>470</v>
      </c>
      <c r="G837" s="15"/>
      <c r="H837" s="119">
        <v>10</v>
      </c>
      <c r="I837" s="134">
        <v>2950</v>
      </c>
      <c r="J837" s="12"/>
      <c r="K837" s="12"/>
      <c r="L837" s="419">
        <f t="shared" si="36"/>
        <v>29500</v>
      </c>
      <c r="M837" s="17"/>
      <c r="N837" s="129"/>
    </row>
    <row r="838" spans="1:14" ht="14.25">
      <c r="A838" t="s">
        <v>103</v>
      </c>
      <c r="B838" s="196">
        <v>4</v>
      </c>
      <c r="C838" s="196">
        <v>2</v>
      </c>
      <c r="D838" s="225">
        <v>10</v>
      </c>
      <c r="E838" s="220">
        <v>19500</v>
      </c>
      <c r="F838" s="94" t="s">
        <v>469</v>
      </c>
      <c r="G838" s="95" t="s">
        <v>1610</v>
      </c>
      <c r="H838" s="119">
        <v>10</v>
      </c>
      <c r="I838" s="134">
        <v>2950</v>
      </c>
      <c r="J838" s="12"/>
      <c r="K838" s="12"/>
      <c r="L838" s="419">
        <f t="shared" si="36"/>
        <v>29500</v>
      </c>
      <c r="M838" s="17"/>
      <c r="N838" s="129"/>
    </row>
    <row r="839" spans="1:14" ht="14.25">
      <c r="A839" t="s">
        <v>103</v>
      </c>
      <c r="B839" s="196">
        <v>4</v>
      </c>
      <c r="C839" s="196">
        <v>2</v>
      </c>
      <c r="D839" s="225">
        <v>10</v>
      </c>
      <c r="E839" s="197">
        <v>29500</v>
      </c>
      <c r="F839" s="94" t="s">
        <v>468</v>
      </c>
      <c r="G839" s="95" t="s">
        <v>1610</v>
      </c>
      <c r="H839" s="119">
        <v>10</v>
      </c>
      <c r="I839" s="134">
        <v>2300</v>
      </c>
      <c r="J839" s="12"/>
      <c r="K839" s="12"/>
      <c r="L839" s="419">
        <f t="shared" si="36"/>
        <v>23000</v>
      </c>
      <c r="M839" s="17"/>
      <c r="N839" s="129"/>
    </row>
    <row r="840" spans="1:14" ht="14.25">
      <c r="A840" t="s">
        <v>103</v>
      </c>
      <c r="B840" s="196">
        <v>4</v>
      </c>
      <c r="C840" s="196">
        <v>2</v>
      </c>
      <c r="D840" s="225">
        <v>10</v>
      </c>
      <c r="E840" s="197">
        <v>29500</v>
      </c>
      <c r="F840" s="94" t="s">
        <v>579</v>
      </c>
      <c r="G840" s="95" t="s">
        <v>1610</v>
      </c>
      <c r="H840" s="119">
        <v>10</v>
      </c>
      <c r="I840" s="134">
        <v>3100</v>
      </c>
      <c r="J840" s="12"/>
      <c r="K840" s="12"/>
      <c r="L840" s="419">
        <f t="shared" si="36"/>
        <v>31000</v>
      </c>
      <c r="M840" s="17"/>
      <c r="N840" s="129"/>
    </row>
    <row r="841" spans="1:14" ht="14.25">
      <c r="A841" t="s">
        <v>104</v>
      </c>
      <c r="B841" s="196">
        <v>4</v>
      </c>
      <c r="C841" s="196">
        <v>2</v>
      </c>
      <c r="D841" s="225">
        <v>10</v>
      </c>
      <c r="E841" s="197">
        <v>23000</v>
      </c>
      <c r="F841" s="94" t="s">
        <v>580</v>
      </c>
      <c r="G841" s="95" t="s">
        <v>1610</v>
      </c>
      <c r="H841" s="119">
        <v>10</v>
      </c>
      <c r="I841" s="134">
        <v>3400</v>
      </c>
      <c r="J841" s="12"/>
      <c r="K841" s="12"/>
      <c r="L841" s="419">
        <f t="shared" si="36"/>
        <v>34000</v>
      </c>
      <c r="M841" s="17"/>
      <c r="N841" s="129"/>
    </row>
    <row r="842" spans="1:14" ht="14.25">
      <c r="A842" t="s">
        <v>104</v>
      </c>
      <c r="B842" s="196">
        <v>4</v>
      </c>
      <c r="C842" s="196">
        <v>2</v>
      </c>
      <c r="D842" s="225">
        <v>10</v>
      </c>
      <c r="E842" s="197">
        <v>31000</v>
      </c>
      <c r="F842" s="94" t="s">
        <v>546</v>
      </c>
      <c r="G842" s="95" t="s">
        <v>1610</v>
      </c>
      <c r="H842" s="119">
        <v>10</v>
      </c>
      <c r="I842" s="134">
        <v>6960</v>
      </c>
      <c r="J842" s="12"/>
      <c r="K842" s="12"/>
      <c r="L842" s="419">
        <f t="shared" si="36"/>
        <v>69600</v>
      </c>
      <c r="M842" s="17"/>
      <c r="N842" s="129"/>
    </row>
    <row r="843" spans="1:14" ht="14.25">
      <c r="A843" t="s">
        <v>104</v>
      </c>
      <c r="B843" s="196">
        <v>4</v>
      </c>
      <c r="C843" s="196">
        <v>2</v>
      </c>
      <c r="D843" s="225">
        <v>10</v>
      </c>
      <c r="E843" s="197">
        <v>34000</v>
      </c>
      <c r="F843" s="94" t="s">
        <v>578</v>
      </c>
      <c r="G843" s="95" t="s">
        <v>1610</v>
      </c>
      <c r="H843" s="119">
        <v>2</v>
      </c>
      <c r="I843" s="134">
        <v>6960</v>
      </c>
      <c r="J843" s="12"/>
      <c r="K843" s="12"/>
      <c r="L843" s="419">
        <f t="shared" si="36"/>
        <v>13920</v>
      </c>
      <c r="M843" s="17"/>
      <c r="N843" s="129"/>
    </row>
    <row r="844" spans="1:14" ht="15">
      <c r="A844" t="s">
        <v>104</v>
      </c>
      <c r="B844" s="196">
        <v>4</v>
      </c>
      <c r="C844" s="196">
        <v>2</v>
      </c>
      <c r="D844" s="225">
        <v>10</v>
      </c>
      <c r="E844" s="197">
        <v>69600</v>
      </c>
      <c r="F844" s="94" t="s">
        <v>581</v>
      </c>
      <c r="G844" s="95" t="s">
        <v>1610</v>
      </c>
      <c r="H844" s="538">
        <v>8</v>
      </c>
      <c r="I844" s="544">
        <v>3230</v>
      </c>
      <c r="J844" s="12"/>
      <c r="K844" s="12"/>
      <c r="L844" s="419">
        <f t="shared" si="36"/>
        <v>25840</v>
      </c>
      <c r="M844" s="17"/>
      <c r="N844" s="129"/>
    </row>
    <row r="845" spans="1:14" ht="15">
      <c r="A845" t="s">
        <v>1658</v>
      </c>
      <c r="B845" s="196">
        <v>4</v>
      </c>
      <c r="C845" s="196">
        <v>2</v>
      </c>
      <c r="D845" s="225">
        <v>2</v>
      </c>
      <c r="E845" s="197">
        <v>13920</v>
      </c>
      <c r="F845" s="585" t="s">
        <v>792</v>
      </c>
      <c r="G845" s="537" t="s">
        <v>509</v>
      </c>
      <c r="H845" s="538">
        <v>8</v>
      </c>
      <c r="I845" s="544">
        <v>3650</v>
      </c>
      <c r="J845" s="12"/>
      <c r="K845" s="12"/>
      <c r="L845" s="419">
        <f t="shared" si="36"/>
        <v>29200</v>
      </c>
      <c r="M845" s="17"/>
      <c r="N845" s="129"/>
    </row>
    <row r="846" spans="1:14" ht="15.75">
      <c r="A846" t="s">
        <v>1658</v>
      </c>
      <c r="B846" s="196">
        <v>4</v>
      </c>
      <c r="C846" s="196">
        <v>2</v>
      </c>
      <c r="D846" s="225">
        <v>2</v>
      </c>
      <c r="E846" s="197">
        <v>32000</v>
      </c>
      <c r="F846" s="585" t="s">
        <v>793</v>
      </c>
      <c r="G846" s="537" t="s">
        <v>509</v>
      </c>
      <c r="H846" s="130">
        <v>2</v>
      </c>
      <c r="I846" s="150">
        <v>13168.32</v>
      </c>
      <c r="J846" s="12"/>
      <c r="K846" s="12"/>
      <c r="L846" s="419">
        <f t="shared" si="36"/>
        <v>26336.64</v>
      </c>
      <c r="M846" s="17"/>
      <c r="N846" s="129"/>
    </row>
    <row r="847" spans="1:14" ht="14.25">
      <c r="A847" t="s">
        <v>104</v>
      </c>
      <c r="B847" s="196">
        <v>4</v>
      </c>
      <c r="C847" s="196">
        <v>2</v>
      </c>
      <c r="D847" s="120">
        <v>5</v>
      </c>
      <c r="E847" s="197">
        <v>18560</v>
      </c>
      <c r="F847" s="94" t="s">
        <v>1175</v>
      </c>
      <c r="G847" s="95" t="s">
        <v>1610</v>
      </c>
      <c r="H847" s="16">
        <v>1000</v>
      </c>
      <c r="I847" s="17">
        <v>23.2</v>
      </c>
      <c r="J847" s="17"/>
      <c r="K847" s="17"/>
      <c r="L847" s="419">
        <f t="shared" si="36"/>
        <v>23200</v>
      </c>
      <c r="M847" s="17"/>
      <c r="N847" s="129"/>
    </row>
    <row r="848" spans="1:14" ht="14.25">
      <c r="A848" t="s">
        <v>97</v>
      </c>
      <c r="B848" s="196">
        <v>4</v>
      </c>
      <c r="C848" s="196">
        <v>2</v>
      </c>
      <c r="D848" s="120">
        <v>2</v>
      </c>
      <c r="E848" s="197">
        <v>26336.64</v>
      </c>
      <c r="F848" s="94" t="s">
        <v>139</v>
      </c>
      <c r="G848" s="15"/>
      <c r="H848" s="534">
        <v>1100</v>
      </c>
      <c r="I848" s="544">
        <v>45</v>
      </c>
      <c r="J848" s="17"/>
      <c r="K848" s="17"/>
      <c r="L848" s="419">
        <f t="shared" si="36"/>
        <v>49500</v>
      </c>
      <c r="M848" s="17"/>
      <c r="N848" s="129"/>
    </row>
    <row r="849" spans="1:14" ht="14.25">
      <c r="A849" t="s">
        <v>830</v>
      </c>
      <c r="B849" s="196">
        <v>4</v>
      </c>
      <c r="C849" s="196">
        <v>2</v>
      </c>
      <c r="D849" s="274">
        <v>1000</v>
      </c>
      <c r="E849" s="220">
        <v>23200</v>
      </c>
      <c r="F849" s="564" t="s">
        <v>828</v>
      </c>
      <c r="G849" s="533" t="s">
        <v>509</v>
      </c>
      <c r="H849" s="534">
        <v>360</v>
      </c>
      <c r="I849" s="544">
        <v>50</v>
      </c>
      <c r="J849" s="17"/>
      <c r="K849" s="17"/>
      <c r="L849" s="419">
        <f t="shared" si="36"/>
        <v>18000</v>
      </c>
      <c r="M849" s="17"/>
      <c r="N849" s="129"/>
    </row>
    <row r="850" spans="1:14" ht="15">
      <c r="A850" t="s">
        <v>830</v>
      </c>
      <c r="B850" s="196"/>
      <c r="C850" s="196"/>
      <c r="D850" s="274"/>
      <c r="E850" s="220"/>
      <c r="F850" s="564" t="s">
        <v>829</v>
      </c>
      <c r="G850" s="533" t="s">
        <v>509</v>
      </c>
      <c r="H850" s="393">
        <v>2</v>
      </c>
      <c r="I850" s="392">
        <v>35461.2</v>
      </c>
      <c r="J850" s="17"/>
      <c r="K850" s="17"/>
      <c r="L850" s="419">
        <f t="shared" si="36"/>
        <v>70922.4</v>
      </c>
      <c r="M850" s="17"/>
      <c r="N850" s="129"/>
    </row>
    <row r="851" spans="1:14" ht="14.25">
      <c r="A851" t="s">
        <v>105</v>
      </c>
      <c r="B851" s="196">
        <v>4</v>
      </c>
      <c r="C851" s="196">
        <v>2</v>
      </c>
      <c r="D851" s="225">
        <v>2</v>
      </c>
      <c r="E851" s="220">
        <v>70922.4</v>
      </c>
      <c r="F851" s="94" t="s">
        <v>237</v>
      </c>
      <c r="G851" s="15" t="s">
        <v>649</v>
      </c>
      <c r="H851" s="625">
        <v>3</v>
      </c>
      <c r="I851" s="658">
        <v>75400</v>
      </c>
      <c r="J851" s="17"/>
      <c r="K851" s="17"/>
      <c r="L851" s="419">
        <f t="shared" si="36"/>
        <v>226200</v>
      </c>
      <c r="M851" s="17"/>
      <c r="N851" s="129"/>
    </row>
    <row r="852" spans="1:14" ht="14.25">
      <c r="A852" t="s">
        <v>97</v>
      </c>
      <c r="B852" s="196"/>
      <c r="C852" s="196"/>
      <c r="D852" s="274"/>
      <c r="E852" s="220"/>
      <c r="F852" s="14" t="s">
        <v>1595</v>
      </c>
      <c r="G852" s="15"/>
      <c r="H852" s="140">
        <v>2</v>
      </c>
      <c r="I852" s="156">
        <v>11699.41</v>
      </c>
      <c r="J852" s="17"/>
      <c r="K852" s="17"/>
      <c r="L852" s="419">
        <f t="shared" si="36"/>
        <v>23398.82</v>
      </c>
      <c r="M852" s="17"/>
      <c r="N852" s="129"/>
    </row>
    <row r="853" spans="1:14" ht="14.25">
      <c r="A853" t="s">
        <v>105</v>
      </c>
      <c r="B853" s="196">
        <v>4</v>
      </c>
      <c r="C853" s="196">
        <v>2</v>
      </c>
      <c r="D853" s="120">
        <v>2</v>
      </c>
      <c r="E853" s="197">
        <v>23398.82</v>
      </c>
      <c r="F853" s="14" t="s">
        <v>1419</v>
      </c>
      <c r="G853" s="95" t="s">
        <v>234</v>
      </c>
      <c r="H853" s="16"/>
      <c r="I853" s="17"/>
      <c r="J853" s="17"/>
      <c r="K853" s="17"/>
      <c r="L853" s="419"/>
      <c r="M853" s="17"/>
      <c r="N853" s="129"/>
    </row>
    <row r="854" spans="1:14" ht="14.25">
      <c r="A854" t="s">
        <v>757</v>
      </c>
      <c r="B854" s="196">
        <v>4</v>
      </c>
      <c r="C854" s="196">
        <v>2</v>
      </c>
      <c r="D854" s="225"/>
      <c r="E854" s="220"/>
      <c r="F854" s="601" t="s">
        <v>1336</v>
      </c>
      <c r="G854" s="620">
        <v>1</v>
      </c>
      <c r="H854" s="16">
        <v>5</v>
      </c>
      <c r="I854" s="17">
        <v>1798</v>
      </c>
      <c r="J854" s="17"/>
      <c r="K854" s="17"/>
      <c r="L854" s="419">
        <f>(H854*I854)</f>
        <v>8990</v>
      </c>
      <c r="M854" s="17"/>
      <c r="N854" s="129"/>
    </row>
    <row r="855" spans="1:14" ht="14.25">
      <c r="A855" t="s">
        <v>107</v>
      </c>
      <c r="B855" s="196">
        <v>4</v>
      </c>
      <c r="C855" s="196">
        <v>2</v>
      </c>
      <c r="D855" s="225">
        <v>0</v>
      </c>
      <c r="E855" s="220">
        <v>0</v>
      </c>
      <c r="F855" s="83" t="s">
        <v>1369</v>
      </c>
      <c r="G855" s="653"/>
      <c r="H855" s="16">
        <v>20</v>
      </c>
      <c r="I855" s="17">
        <v>800</v>
      </c>
      <c r="J855" s="17"/>
      <c r="K855" s="17"/>
      <c r="L855" s="419">
        <f>(H855*I855)</f>
        <v>16000</v>
      </c>
      <c r="M855" s="17"/>
      <c r="N855" s="129"/>
    </row>
    <row r="856" spans="1:14" ht="14.25">
      <c r="A856" t="s">
        <v>908</v>
      </c>
      <c r="B856" s="196">
        <v>4</v>
      </c>
      <c r="C856" s="196">
        <v>2</v>
      </c>
      <c r="D856" s="225">
        <v>5</v>
      </c>
      <c r="E856" s="220">
        <v>8990</v>
      </c>
      <c r="F856" s="94" t="s">
        <v>1535</v>
      </c>
      <c r="G856" s="15" t="s">
        <v>649</v>
      </c>
      <c r="H856" s="16"/>
      <c r="I856" s="17"/>
      <c r="J856" s="17"/>
      <c r="K856" s="17"/>
      <c r="L856" s="419"/>
      <c r="M856" s="17"/>
      <c r="N856" s="129"/>
    </row>
    <row r="857" spans="1:14" ht="14.25">
      <c r="A857" t="s">
        <v>83</v>
      </c>
      <c r="B857" s="196">
        <v>4</v>
      </c>
      <c r="C857" s="196">
        <v>2</v>
      </c>
      <c r="D857" s="120">
        <v>20</v>
      </c>
      <c r="E857" s="197">
        <v>16000</v>
      </c>
      <c r="F857" s="94" t="s">
        <v>1536</v>
      </c>
      <c r="G857" s="15"/>
      <c r="H857" s="623">
        <v>3</v>
      </c>
      <c r="I857" s="638">
        <v>137392</v>
      </c>
      <c r="J857" s="17"/>
      <c r="K857" s="17"/>
      <c r="L857" s="419">
        <f>(H857*I857)</f>
        <v>412176</v>
      </c>
      <c r="M857" s="17"/>
      <c r="N857" s="129"/>
    </row>
    <row r="858" spans="1:14" ht="14.25">
      <c r="A858" t="s">
        <v>28</v>
      </c>
      <c r="B858" s="196">
        <v>4</v>
      </c>
      <c r="C858" s="196">
        <v>2</v>
      </c>
      <c r="D858" s="120"/>
      <c r="E858" s="154"/>
      <c r="F858" s="593" t="s">
        <v>794</v>
      </c>
      <c r="G858" s="296" t="s">
        <v>509</v>
      </c>
      <c r="H858" s="622">
        <v>1</v>
      </c>
      <c r="I858" s="657">
        <v>625155.32</v>
      </c>
      <c r="J858" s="17"/>
      <c r="K858" s="17"/>
      <c r="L858" s="419">
        <f>(H858*I858)</f>
        <v>625155.32</v>
      </c>
      <c r="M858" s="17"/>
      <c r="N858" s="129"/>
    </row>
    <row r="859" spans="1:14" ht="14.25">
      <c r="A859" s="404" t="s">
        <v>28</v>
      </c>
      <c r="B859" s="196">
        <v>4</v>
      </c>
      <c r="C859" s="196">
        <v>2</v>
      </c>
      <c r="D859" s="120"/>
      <c r="E859" s="154"/>
      <c r="F859" s="592" t="s">
        <v>1534</v>
      </c>
      <c r="G859" s="614"/>
      <c r="H859" s="16"/>
      <c r="I859" s="148"/>
      <c r="J859" s="17"/>
      <c r="K859" s="17"/>
      <c r="L859" s="419"/>
      <c r="M859" s="17"/>
      <c r="N859" s="129"/>
    </row>
    <row r="860" spans="1:14" ht="14.25">
      <c r="A860" s="404" t="s">
        <v>28</v>
      </c>
      <c r="B860" s="196">
        <v>4</v>
      </c>
      <c r="C860" s="196">
        <v>2</v>
      </c>
      <c r="D860" s="120">
        <v>1</v>
      </c>
      <c r="E860" s="197">
        <v>625155.32</v>
      </c>
      <c r="F860" s="586" t="s">
        <v>6</v>
      </c>
      <c r="G860" s="15"/>
      <c r="H860" s="623">
        <v>4</v>
      </c>
      <c r="I860" s="17"/>
      <c r="J860" s="17"/>
      <c r="K860" s="17"/>
      <c r="L860" s="419"/>
      <c r="M860" s="17"/>
      <c r="N860" s="129"/>
    </row>
    <row r="861" spans="1:14" ht="15">
      <c r="A861" t="s">
        <v>33</v>
      </c>
      <c r="B861" s="196">
        <v>4</v>
      </c>
      <c r="C861" s="196">
        <v>2</v>
      </c>
      <c r="D861" s="120"/>
      <c r="E861" s="197"/>
      <c r="F861" s="593" t="s">
        <v>795</v>
      </c>
      <c r="G861" s="296" t="s">
        <v>744</v>
      </c>
      <c r="H861" s="655">
        <v>5</v>
      </c>
      <c r="I861" s="643">
        <v>51435.56</v>
      </c>
      <c r="J861" s="17"/>
      <c r="K861" s="17"/>
      <c r="L861" s="419">
        <f>(H861*I861)</f>
        <v>257177.8</v>
      </c>
      <c r="M861" s="17"/>
      <c r="N861" s="129"/>
    </row>
    <row r="862" spans="1:14" ht="15.75">
      <c r="A862" t="s">
        <v>108</v>
      </c>
      <c r="B862" s="196">
        <v>4</v>
      </c>
      <c r="C862" s="196">
        <v>2</v>
      </c>
      <c r="D862" s="120"/>
      <c r="E862" s="154"/>
      <c r="F862" s="592" t="s">
        <v>282</v>
      </c>
      <c r="G862" s="617" t="s">
        <v>1610</v>
      </c>
      <c r="H862" s="393">
        <v>5</v>
      </c>
      <c r="I862" s="392">
        <v>51435.56</v>
      </c>
      <c r="J862" s="12"/>
      <c r="K862" s="12"/>
      <c r="L862" s="422">
        <v>0</v>
      </c>
      <c r="M862" s="17"/>
      <c r="N862" s="129"/>
    </row>
    <row r="863" spans="1:14" ht="15">
      <c r="A863" s="404" t="s">
        <v>571</v>
      </c>
      <c r="B863" s="196">
        <v>4</v>
      </c>
      <c r="C863" s="196">
        <v>2</v>
      </c>
      <c r="D863" s="118"/>
      <c r="E863" s="215"/>
      <c r="F863" s="593" t="s">
        <v>779</v>
      </c>
      <c r="G863" s="296" t="s">
        <v>509</v>
      </c>
      <c r="H863" s="632">
        <v>5</v>
      </c>
      <c r="I863" s="553">
        <v>27800</v>
      </c>
      <c r="J863" s="17"/>
      <c r="K863" s="17"/>
      <c r="L863" s="419">
        <f>(H863*I863)</f>
        <v>139000</v>
      </c>
      <c r="M863" s="13"/>
      <c r="N863" s="129"/>
    </row>
    <row r="864" spans="1:14" ht="15">
      <c r="A864" t="s">
        <v>108</v>
      </c>
      <c r="B864" s="196">
        <v>4</v>
      </c>
      <c r="C864" s="196">
        <v>2</v>
      </c>
      <c r="D864" s="118">
        <v>5</v>
      </c>
      <c r="E864" s="206">
        <v>257177.8</v>
      </c>
      <c r="F864" s="94" t="s">
        <v>503</v>
      </c>
      <c r="G864" s="95" t="s">
        <v>1577</v>
      </c>
      <c r="H864" s="100"/>
      <c r="I864" s="12"/>
      <c r="J864" s="12"/>
      <c r="K864" s="12"/>
      <c r="L864" s="422"/>
      <c r="M864" s="17"/>
      <c r="N864" s="129"/>
    </row>
    <row r="865" spans="1:14" ht="15">
      <c r="A865" s="404" t="s">
        <v>571</v>
      </c>
      <c r="B865" s="196">
        <v>4</v>
      </c>
      <c r="C865" s="196">
        <v>2</v>
      </c>
      <c r="D865" s="118">
        <v>5</v>
      </c>
      <c r="E865" s="215">
        <v>0</v>
      </c>
      <c r="F865" s="94" t="s">
        <v>504</v>
      </c>
      <c r="G865" s="95" t="s">
        <v>1610</v>
      </c>
      <c r="H865" s="534">
        <v>50</v>
      </c>
      <c r="I865" s="544">
        <v>5150</v>
      </c>
      <c r="J865" s="12"/>
      <c r="K865" s="12"/>
      <c r="L865" s="419">
        <f>(H865*I865)</f>
        <v>257500</v>
      </c>
      <c r="M865" s="13"/>
      <c r="N865" s="318"/>
    </row>
    <row r="866" spans="1:14" ht="15">
      <c r="A866" s="404" t="s">
        <v>571</v>
      </c>
      <c r="B866" s="196">
        <v>4</v>
      </c>
      <c r="C866" s="196">
        <v>2</v>
      </c>
      <c r="D866" s="118">
        <v>20</v>
      </c>
      <c r="E866" s="215">
        <v>161077.6</v>
      </c>
      <c r="F866" s="564" t="s">
        <v>778</v>
      </c>
      <c r="G866" s="533" t="s">
        <v>509</v>
      </c>
      <c r="H866" s="634">
        <v>15</v>
      </c>
      <c r="I866" s="645">
        <v>37236</v>
      </c>
      <c r="J866" s="12"/>
      <c r="K866" s="12"/>
      <c r="L866" s="419">
        <f>(H866*I866)</f>
        <v>558540</v>
      </c>
      <c r="M866" s="17"/>
      <c r="N866" s="318"/>
    </row>
    <row r="867" spans="1:14" ht="14.25">
      <c r="A867" s="404" t="s">
        <v>571</v>
      </c>
      <c r="B867" s="196">
        <v>4</v>
      </c>
      <c r="C867" s="196">
        <v>2</v>
      </c>
      <c r="D867" s="118">
        <v>5</v>
      </c>
      <c r="E867" s="215">
        <v>34800</v>
      </c>
      <c r="F867" s="592" t="s">
        <v>1596</v>
      </c>
      <c r="G867" s="617" t="s">
        <v>1610</v>
      </c>
      <c r="H867" s="633">
        <v>20</v>
      </c>
      <c r="I867" s="644">
        <v>6650</v>
      </c>
      <c r="J867" s="17"/>
      <c r="K867" s="17"/>
      <c r="L867" s="419">
        <f>(H867*I867)</f>
        <v>133000</v>
      </c>
      <c r="M867" s="17"/>
      <c r="N867" s="129"/>
    </row>
    <row r="868" spans="1:14" ht="14.25">
      <c r="A868" t="s">
        <v>111</v>
      </c>
      <c r="B868" s="196">
        <v>4</v>
      </c>
      <c r="C868" s="196">
        <v>2</v>
      </c>
      <c r="D868" s="118">
        <v>15</v>
      </c>
      <c r="E868" s="215">
        <v>558540</v>
      </c>
      <c r="F868" s="593" t="s">
        <v>318</v>
      </c>
      <c r="G868" s="296" t="s">
        <v>780</v>
      </c>
      <c r="H868" s="394">
        <v>10</v>
      </c>
      <c r="I868" s="657">
        <v>6327.8</v>
      </c>
      <c r="J868" s="17"/>
      <c r="K868" s="17"/>
      <c r="L868" s="419"/>
      <c r="M868" s="17"/>
      <c r="N868" s="129"/>
    </row>
    <row r="869" spans="1:14" ht="15">
      <c r="A869" t="s">
        <v>111</v>
      </c>
      <c r="B869" s="196">
        <v>4</v>
      </c>
      <c r="C869" s="196">
        <v>2</v>
      </c>
      <c r="D869" s="119">
        <v>6</v>
      </c>
      <c r="E869" s="226">
        <v>253281.36</v>
      </c>
      <c r="F869" s="592" t="s">
        <v>458</v>
      </c>
      <c r="G869" s="617" t="s">
        <v>1610</v>
      </c>
      <c r="H869" s="622">
        <v>10</v>
      </c>
      <c r="I869" s="148">
        <v>4756</v>
      </c>
      <c r="J869" s="17"/>
      <c r="K869" s="17"/>
      <c r="L869" s="419">
        <f aca="true" t="shared" si="37" ref="L869:L874">(H869*I869)</f>
        <v>47560</v>
      </c>
      <c r="M869" s="17"/>
      <c r="N869" s="318"/>
    </row>
    <row r="870" spans="1:14" ht="14.25">
      <c r="A870" t="s">
        <v>112</v>
      </c>
      <c r="B870" s="196">
        <v>4</v>
      </c>
      <c r="C870" s="196">
        <v>2</v>
      </c>
      <c r="D870" s="118">
        <v>10</v>
      </c>
      <c r="E870" s="206"/>
      <c r="F870" s="94" t="s">
        <v>460</v>
      </c>
      <c r="G870" s="95" t="s">
        <v>1610</v>
      </c>
      <c r="H870" s="16">
        <v>2</v>
      </c>
      <c r="I870" s="17">
        <v>4150</v>
      </c>
      <c r="J870" s="17"/>
      <c r="K870" s="17"/>
      <c r="L870" s="419">
        <f t="shared" si="37"/>
        <v>8300</v>
      </c>
      <c r="M870" s="17"/>
      <c r="N870" s="129"/>
    </row>
    <row r="871" spans="1:14" ht="14.25">
      <c r="A871" t="s">
        <v>781</v>
      </c>
      <c r="B871" s="196">
        <v>4</v>
      </c>
      <c r="C871" s="196">
        <v>2</v>
      </c>
      <c r="D871" s="118">
        <v>2</v>
      </c>
      <c r="E871" s="206">
        <v>8300</v>
      </c>
      <c r="F871" s="593" t="s">
        <v>317</v>
      </c>
      <c r="G871" s="296" t="s">
        <v>1649</v>
      </c>
      <c r="H871" s="16">
        <v>2</v>
      </c>
      <c r="I871" s="17">
        <v>2000</v>
      </c>
      <c r="J871" s="17"/>
      <c r="K871" s="17"/>
      <c r="L871" s="419">
        <f t="shared" si="37"/>
        <v>4000</v>
      </c>
      <c r="M871" s="17"/>
      <c r="N871" s="129"/>
    </row>
    <row r="872" spans="1:14" ht="14.25">
      <c r="A872" t="s">
        <v>112</v>
      </c>
      <c r="B872" s="196">
        <v>4</v>
      </c>
      <c r="C872" s="196">
        <v>2</v>
      </c>
      <c r="D872" s="118">
        <v>10</v>
      </c>
      <c r="E872" s="206">
        <v>47560</v>
      </c>
      <c r="F872" s="94" t="s">
        <v>459</v>
      </c>
      <c r="G872" s="95" t="s">
        <v>1541</v>
      </c>
      <c r="H872" s="534">
        <v>10</v>
      </c>
      <c r="I872" s="544">
        <v>3300</v>
      </c>
      <c r="J872" s="17"/>
      <c r="K872" s="17"/>
      <c r="L872" s="419">
        <f t="shared" si="37"/>
        <v>33000</v>
      </c>
      <c r="M872" s="17"/>
      <c r="N872" s="129"/>
    </row>
    <row r="873" spans="1:14" ht="14.25">
      <c r="A873" t="s">
        <v>910</v>
      </c>
      <c r="B873" s="196">
        <v>4</v>
      </c>
      <c r="C873" s="196">
        <v>2</v>
      </c>
      <c r="D873" s="118">
        <v>2</v>
      </c>
      <c r="E873" s="206">
        <v>4000</v>
      </c>
      <c r="F873" s="598" t="s">
        <v>1101</v>
      </c>
      <c r="G873" s="614" t="s">
        <v>649</v>
      </c>
      <c r="H873" s="16">
        <v>50</v>
      </c>
      <c r="I873" s="17">
        <v>2186.6</v>
      </c>
      <c r="J873" s="17"/>
      <c r="K873" s="17"/>
      <c r="L873" s="419">
        <f t="shared" si="37"/>
        <v>109330</v>
      </c>
      <c r="M873" s="17"/>
      <c r="N873" s="129"/>
    </row>
    <row r="874" spans="1:14" ht="14.25">
      <c r="A874" t="s">
        <v>112</v>
      </c>
      <c r="B874" s="196">
        <v>4</v>
      </c>
      <c r="C874" s="196">
        <v>2</v>
      </c>
      <c r="D874" s="118">
        <v>2</v>
      </c>
      <c r="E874" s="206">
        <v>4600</v>
      </c>
      <c r="F874" s="83" t="s">
        <v>1130</v>
      </c>
      <c r="G874" s="95" t="s">
        <v>1610</v>
      </c>
      <c r="H874" s="16">
        <v>50</v>
      </c>
      <c r="I874" s="17">
        <v>1150</v>
      </c>
      <c r="J874" s="17"/>
      <c r="K874" s="17"/>
      <c r="L874" s="419">
        <f t="shared" si="37"/>
        <v>57500</v>
      </c>
      <c r="M874" s="17"/>
      <c r="N874" s="129"/>
    </row>
    <row r="875" spans="1:14" ht="14.25">
      <c r="A875" t="s">
        <v>910</v>
      </c>
      <c r="B875" s="196">
        <v>4</v>
      </c>
      <c r="C875" s="196">
        <v>2</v>
      </c>
      <c r="D875" s="118">
        <v>50</v>
      </c>
      <c r="E875" s="215">
        <v>57500</v>
      </c>
      <c r="F875" s="83" t="s">
        <v>1411</v>
      </c>
      <c r="G875" s="15" t="s">
        <v>649</v>
      </c>
      <c r="H875" s="16"/>
      <c r="I875" s="17"/>
      <c r="J875" s="17"/>
      <c r="K875" s="17"/>
      <c r="L875" s="419"/>
      <c r="M875" s="17"/>
      <c r="N875" s="129"/>
    </row>
    <row r="876" spans="1:14" ht="14.25">
      <c r="A876" t="s">
        <v>113</v>
      </c>
      <c r="B876" s="196">
        <v>4</v>
      </c>
      <c r="C876" s="196">
        <v>2</v>
      </c>
      <c r="D876" s="118">
        <v>50</v>
      </c>
      <c r="E876" s="215">
        <v>109330</v>
      </c>
      <c r="F876" s="83" t="s">
        <v>1418</v>
      </c>
      <c r="G876" s="15"/>
      <c r="H876" s="16"/>
      <c r="I876" s="17"/>
      <c r="J876" s="17"/>
      <c r="K876" s="17"/>
      <c r="L876" s="419"/>
      <c r="M876" s="17"/>
      <c r="N876" s="129"/>
    </row>
    <row r="877" spans="1:14" ht="14.25">
      <c r="A877" t="s">
        <v>106</v>
      </c>
      <c r="B877" s="196">
        <v>4</v>
      </c>
      <c r="C877" s="196">
        <v>2</v>
      </c>
      <c r="D877" s="118">
        <v>3</v>
      </c>
      <c r="E877" s="206">
        <v>226200</v>
      </c>
      <c r="F877" s="602" t="s">
        <v>756</v>
      </c>
      <c r="G877" s="15" t="s">
        <v>649</v>
      </c>
      <c r="H877" s="16">
        <v>0</v>
      </c>
      <c r="I877" s="17">
        <v>34800</v>
      </c>
      <c r="J877" s="17"/>
      <c r="K877" s="17"/>
      <c r="L877" s="419">
        <f>(H877*I877)</f>
        <v>0</v>
      </c>
      <c r="M877" s="17"/>
      <c r="N877" s="129"/>
    </row>
    <row r="878" spans="1:14" ht="14.25">
      <c r="A878" t="s">
        <v>113</v>
      </c>
      <c r="B878" s="196">
        <v>4</v>
      </c>
      <c r="C878" s="196">
        <v>2</v>
      </c>
      <c r="D878" s="119"/>
      <c r="E878" s="226"/>
      <c r="F878" s="94" t="s">
        <v>461</v>
      </c>
      <c r="G878" s="15"/>
      <c r="H878" s="16"/>
      <c r="I878" s="17"/>
      <c r="J878" s="17"/>
      <c r="K878" s="17"/>
      <c r="L878" s="419"/>
      <c r="M878" s="17"/>
      <c r="N878" s="129"/>
    </row>
    <row r="879" spans="1:14" ht="14.25">
      <c r="A879" t="s">
        <v>96</v>
      </c>
      <c r="B879" s="196">
        <v>4</v>
      </c>
      <c r="C879" s="196">
        <v>2</v>
      </c>
      <c r="D879" s="119"/>
      <c r="E879" s="226"/>
      <c r="F879" s="94" t="s">
        <v>238</v>
      </c>
      <c r="G879" s="95" t="s">
        <v>1610</v>
      </c>
      <c r="H879" s="16"/>
      <c r="I879" s="17"/>
      <c r="J879" s="17"/>
      <c r="K879" s="17"/>
      <c r="L879" s="419"/>
      <c r="M879" s="17"/>
      <c r="N879" s="129"/>
    </row>
    <row r="880" spans="1:14" ht="14.25">
      <c r="A880" t="s">
        <v>114</v>
      </c>
      <c r="B880" s="196">
        <v>4</v>
      </c>
      <c r="C880" s="196">
        <v>2</v>
      </c>
      <c r="D880" s="118"/>
      <c r="E880" s="206"/>
      <c r="F880" s="94" t="s">
        <v>222</v>
      </c>
      <c r="G880" s="95" t="s">
        <v>234</v>
      </c>
      <c r="H880" s="16"/>
      <c r="I880" s="17"/>
      <c r="J880" s="17"/>
      <c r="K880" s="17"/>
      <c r="L880" s="419"/>
      <c r="M880" s="17"/>
      <c r="N880" s="129"/>
    </row>
    <row r="881" spans="1:14" ht="14.25">
      <c r="A881" t="s">
        <v>114</v>
      </c>
      <c r="B881" s="196">
        <v>4</v>
      </c>
      <c r="C881" s="196">
        <v>2</v>
      </c>
      <c r="D881" s="118"/>
      <c r="E881" s="206"/>
      <c r="F881" s="94" t="s">
        <v>223</v>
      </c>
      <c r="G881" s="95" t="s">
        <v>1610</v>
      </c>
      <c r="H881" s="16"/>
      <c r="I881" s="17"/>
      <c r="J881" s="17"/>
      <c r="K881" s="17"/>
      <c r="L881" s="419"/>
      <c r="M881" s="17"/>
      <c r="N881" s="129"/>
    </row>
    <row r="882" spans="1:14" ht="15">
      <c r="A882" t="s">
        <v>114</v>
      </c>
      <c r="B882" s="196">
        <v>4</v>
      </c>
      <c r="C882" s="196">
        <v>2</v>
      </c>
      <c r="D882" s="118"/>
      <c r="E882" s="206"/>
      <c r="F882" s="94" t="s">
        <v>304</v>
      </c>
      <c r="G882" s="95" t="s">
        <v>1610</v>
      </c>
      <c r="H882" s="11"/>
      <c r="I882" s="12"/>
      <c r="J882" s="12"/>
      <c r="K882" s="12"/>
      <c r="L882" s="422"/>
      <c r="M882" s="17"/>
      <c r="N882" s="129"/>
    </row>
    <row r="883" spans="1:14" ht="14.25">
      <c r="A883" t="s">
        <v>114</v>
      </c>
      <c r="B883" s="196">
        <v>4</v>
      </c>
      <c r="C883" s="196">
        <v>2</v>
      </c>
      <c r="D883" s="118"/>
      <c r="E883" s="206"/>
      <c r="F883" s="14" t="s">
        <v>1131</v>
      </c>
      <c r="G883" s="87" t="s">
        <v>1545</v>
      </c>
      <c r="H883" s="16">
        <v>5</v>
      </c>
      <c r="I883" s="17">
        <v>2756.16</v>
      </c>
      <c r="J883" s="17"/>
      <c r="K883" s="17"/>
      <c r="L883" s="419">
        <f>(H883*I883)</f>
        <v>13780.8</v>
      </c>
      <c r="M883" s="17"/>
      <c r="N883" s="129"/>
    </row>
    <row r="884" spans="1:14" ht="15">
      <c r="A884" t="s">
        <v>41</v>
      </c>
      <c r="B884" s="196">
        <v>4</v>
      </c>
      <c r="C884" s="196">
        <v>2</v>
      </c>
      <c r="D884" s="118"/>
      <c r="E884" s="215"/>
      <c r="F884" s="14" t="s">
        <v>1409</v>
      </c>
      <c r="G884" s="92" t="s">
        <v>649</v>
      </c>
      <c r="H884" s="16"/>
      <c r="I884" s="17"/>
      <c r="J884" s="17"/>
      <c r="K884" s="17"/>
      <c r="L884" s="419"/>
      <c r="M884" s="13"/>
      <c r="N884" s="318"/>
    </row>
    <row r="885" spans="1:14" ht="14.25">
      <c r="A885" t="s">
        <v>41</v>
      </c>
      <c r="B885" s="196">
        <v>4</v>
      </c>
      <c r="C885" s="196">
        <v>2</v>
      </c>
      <c r="D885" s="118">
        <v>5</v>
      </c>
      <c r="E885" s="215">
        <v>13780.8</v>
      </c>
      <c r="F885" s="14" t="s">
        <v>1410</v>
      </c>
      <c r="G885" s="92"/>
      <c r="H885" s="16"/>
      <c r="I885" s="17"/>
      <c r="J885" s="17"/>
      <c r="K885" s="17"/>
      <c r="L885" s="419"/>
      <c r="M885" s="17"/>
      <c r="N885" s="129"/>
    </row>
    <row r="886" spans="1:14" ht="14.25">
      <c r="A886" t="s">
        <v>41</v>
      </c>
      <c r="B886" s="196">
        <v>4</v>
      </c>
      <c r="C886" s="196">
        <v>2</v>
      </c>
      <c r="D886" s="118"/>
      <c r="E886" s="215"/>
      <c r="F886" s="94" t="s">
        <v>587</v>
      </c>
      <c r="G886" s="92"/>
      <c r="H886" s="177">
        <v>5</v>
      </c>
      <c r="I886" s="17">
        <v>4408</v>
      </c>
      <c r="J886" s="17"/>
      <c r="K886" s="17"/>
      <c r="L886" s="419">
        <f>(H886*I886)</f>
        <v>22040</v>
      </c>
      <c r="M886" s="17"/>
      <c r="N886" s="129"/>
    </row>
    <row r="887" spans="1:14" ht="15">
      <c r="A887" t="s">
        <v>41</v>
      </c>
      <c r="B887" s="196">
        <v>4</v>
      </c>
      <c r="C887" s="196">
        <v>2</v>
      </c>
      <c r="D887" s="118"/>
      <c r="E887" s="215"/>
      <c r="F887" s="94" t="s">
        <v>283</v>
      </c>
      <c r="G887" s="87" t="s">
        <v>1610</v>
      </c>
      <c r="H887" s="11"/>
      <c r="I887" s="12"/>
      <c r="J887" s="12"/>
      <c r="K887" s="12"/>
      <c r="L887" s="422"/>
      <c r="M887" s="17"/>
      <c r="N887" s="129"/>
    </row>
    <row r="888" spans="1:14" ht="14.25">
      <c r="A888" t="s">
        <v>41</v>
      </c>
      <c r="B888" s="196">
        <v>4</v>
      </c>
      <c r="C888" s="196">
        <v>2</v>
      </c>
      <c r="D888" s="118">
        <v>5</v>
      </c>
      <c r="E888" s="215">
        <v>22040</v>
      </c>
      <c r="F888" s="14" t="s">
        <v>1132</v>
      </c>
      <c r="G888" s="87" t="s">
        <v>1577</v>
      </c>
      <c r="H888" s="16">
        <v>10</v>
      </c>
      <c r="I888" s="17">
        <v>725</v>
      </c>
      <c r="J888" s="17"/>
      <c r="K888" s="17"/>
      <c r="L888" s="419">
        <f aca="true" t="shared" si="38" ref="L888:L914">(H888*I888)</f>
        <v>7250</v>
      </c>
      <c r="M888" s="17"/>
      <c r="N888" s="129"/>
    </row>
    <row r="889" spans="1:14" ht="15">
      <c r="A889" t="s">
        <v>41</v>
      </c>
      <c r="B889" s="196">
        <v>4</v>
      </c>
      <c r="C889" s="196">
        <v>2</v>
      </c>
      <c r="D889" s="118"/>
      <c r="E889" s="215"/>
      <c r="F889" s="94" t="s">
        <v>472</v>
      </c>
      <c r="G889" s="92" t="s">
        <v>649</v>
      </c>
      <c r="H889" s="100">
        <v>0</v>
      </c>
      <c r="I889" s="12">
        <v>0</v>
      </c>
      <c r="J889" s="12"/>
      <c r="K889" s="12"/>
      <c r="L889" s="419">
        <f t="shared" si="38"/>
        <v>0</v>
      </c>
      <c r="M889" s="13"/>
      <c r="N889" s="318"/>
    </row>
    <row r="890" spans="1:14" ht="14.25">
      <c r="A890" t="s">
        <v>115</v>
      </c>
      <c r="B890" s="196">
        <v>4</v>
      </c>
      <c r="C890" s="196">
        <v>2</v>
      </c>
      <c r="D890" s="118">
        <v>10</v>
      </c>
      <c r="E890" s="215">
        <v>7250</v>
      </c>
      <c r="F890" s="94" t="s">
        <v>471</v>
      </c>
      <c r="G890" s="87" t="s">
        <v>1610</v>
      </c>
      <c r="H890" s="100">
        <v>0</v>
      </c>
      <c r="I890" s="12">
        <v>0</v>
      </c>
      <c r="J890" s="12"/>
      <c r="K890" s="12"/>
      <c r="L890" s="419">
        <f t="shared" si="38"/>
        <v>0</v>
      </c>
      <c r="M890" s="17"/>
      <c r="N890" s="129"/>
    </row>
    <row r="891" spans="1:14" ht="14.25">
      <c r="A891" t="s">
        <v>115</v>
      </c>
      <c r="B891" s="196">
        <v>4</v>
      </c>
      <c r="C891" s="196">
        <v>2</v>
      </c>
      <c r="D891" s="118">
        <v>0</v>
      </c>
      <c r="E891" s="215">
        <v>0</v>
      </c>
      <c r="F891" s="94" t="s">
        <v>1565</v>
      </c>
      <c r="G891" s="87" t="s">
        <v>1610</v>
      </c>
      <c r="H891" s="16">
        <v>5</v>
      </c>
      <c r="I891" s="123">
        <v>1682</v>
      </c>
      <c r="J891" s="12"/>
      <c r="K891" s="12"/>
      <c r="L891" s="419">
        <f t="shared" si="38"/>
        <v>8410</v>
      </c>
      <c r="M891" s="17"/>
      <c r="N891" s="129"/>
    </row>
    <row r="892" spans="1:14" ht="14.25">
      <c r="A892" t="s">
        <v>115</v>
      </c>
      <c r="B892" s="196">
        <v>4</v>
      </c>
      <c r="C892" s="196">
        <v>2</v>
      </c>
      <c r="D892" s="118">
        <v>0</v>
      </c>
      <c r="E892" s="215">
        <v>0</v>
      </c>
      <c r="F892" s="94" t="s">
        <v>510</v>
      </c>
      <c r="G892" s="87" t="s">
        <v>1610</v>
      </c>
      <c r="H892" s="16">
        <v>4</v>
      </c>
      <c r="I892" s="123">
        <v>2064.68</v>
      </c>
      <c r="J892" s="12"/>
      <c r="K892" s="12"/>
      <c r="L892" s="419">
        <f t="shared" si="38"/>
        <v>8258.72</v>
      </c>
      <c r="M892" s="17"/>
      <c r="N892" s="129"/>
    </row>
    <row r="893" spans="1:14" ht="14.25">
      <c r="A893" t="s">
        <v>115</v>
      </c>
      <c r="B893" s="196">
        <v>4</v>
      </c>
      <c r="C893" s="196">
        <v>2</v>
      </c>
      <c r="D893" s="118">
        <v>5</v>
      </c>
      <c r="E893" s="215">
        <v>8410</v>
      </c>
      <c r="F893" s="94" t="s">
        <v>511</v>
      </c>
      <c r="G893" s="87" t="s">
        <v>1610</v>
      </c>
      <c r="H893" s="100">
        <v>2</v>
      </c>
      <c r="I893" s="123">
        <v>2000</v>
      </c>
      <c r="J893" s="12"/>
      <c r="K893" s="12"/>
      <c r="L893" s="419">
        <f t="shared" si="38"/>
        <v>4000</v>
      </c>
      <c r="M893" s="17"/>
      <c r="N893" s="129"/>
    </row>
    <row r="894" spans="1:14" ht="15">
      <c r="A894" t="s">
        <v>950</v>
      </c>
      <c r="B894" s="196">
        <v>4</v>
      </c>
      <c r="C894" s="196">
        <v>2</v>
      </c>
      <c r="D894" s="118">
        <v>4</v>
      </c>
      <c r="E894" s="215">
        <v>8258.72</v>
      </c>
      <c r="F894" s="94" t="s">
        <v>505</v>
      </c>
      <c r="G894" s="87" t="s">
        <v>1610</v>
      </c>
      <c r="H894" s="554">
        <v>20</v>
      </c>
      <c r="I894" s="545">
        <v>4500</v>
      </c>
      <c r="J894" s="12"/>
      <c r="K894" s="12"/>
      <c r="L894" s="419">
        <f t="shared" si="38"/>
        <v>90000</v>
      </c>
      <c r="M894" s="17"/>
      <c r="N894" s="129"/>
    </row>
    <row r="895" spans="1:14" ht="15">
      <c r="A895" t="s">
        <v>950</v>
      </c>
      <c r="B895" s="196"/>
      <c r="C895" s="196"/>
      <c r="D895" s="118"/>
      <c r="E895" s="215"/>
      <c r="F895" s="551" t="s">
        <v>952</v>
      </c>
      <c r="G895" s="87" t="s">
        <v>1610</v>
      </c>
      <c r="H895" s="554">
        <v>15</v>
      </c>
      <c r="I895" s="545">
        <v>8900</v>
      </c>
      <c r="J895" s="12"/>
      <c r="K895" s="12"/>
      <c r="L895" s="419">
        <f t="shared" si="38"/>
        <v>133500</v>
      </c>
      <c r="M895" s="17"/>
      <c r="N895" s="129"/>
    </row>
    <row r="896" spans="1:14" ht="14.25">
      <c r="A896" t="s">
        <v>115</v>
      </c>
      <c r="B896" s="196"/>
      <c r="C896" s="196"/>
      <c r="D896" s="118"/>
      <c r="E896" s="215"/>
      <c r="F896" s="551" t="s">
        <v>951</v>
      </c>
      <c r="G896" s="87" t="s">
        <v>1610</v>
      </c>
      <c r="H896" s="100">
        <v>2</v>
      </c>
      <c r="I896" s="123">
        <v>2300</v>
      </c>
      <c r="J896" s="12"/>
      <c r="K896" s="12"/>
      <c r="L896" s="419">
        <f t="shared" si="38"/>
        <v>4600</v>
      </c>
      <c r="M896" s="17"/>
      <c r="N896" s="129"/>
    </row>
    <row r="897" spans="1:14" ht="14.25">
      <c r="A897" t="s">
        <v>115</v>
      </c>
      <c r="B897" s="196">
        <v>4</v>
      </c>
      <c r="C897" s="196">
        <v>2</v>
      </c>
      <c r="D897" s="118">
        <v>2</v>
      </c>
      <c r="E897" s="215">
        <v>4000</v>
      </c>
      <c r="F897" s="94" t="s">
        <v>516</v>
      </c>
      <c r="G897" s="87" t="s">
        <v>1610</v>
      </c>
      <c r="H897" s="100">
        <v>0</v>
      </c>
      <c r="I897" s="123">
        <v>0</v>
      </c>
      <c r="J897" s="12"/>
      <c r="K897" s="12"/>
      <c r="L897" s="419">
        <f t="shared" si="38"/>
        <v>0</v>
      </c>
      <c r="M897" s="17"/>
      <c r="N897" s="129"/>
    </row>
    <row r="898" spans="1:14" ht="14.25">
      <c r="A898" t="s">
        <v>116</v>
      </c>
      <c r="B898" s="196">
        <v>4</v>
      </c>
      <c r="C898" s="196">
        <v>2</v>
      </c>
      <c r="D898" s="118">
        <v>2</v>
      </c>
      <c r="E898" s="215">
        <v>4600</v>
      </c>
      <c r="F898" s="94" t="s">
        <v>512</v>
      </c>
      <c r="G898" s="87" t="s">
        <v>1610</v>
      </c>
      <c r="H898" s="100">
        <v>0</v>
      </c>
      <c r="I898" s="12">
        <v>0</v>
      </c>
      <c r="J898" s="12"/>
      <c r="K898" s="12"/>
      <c r="L898" s="419">
        <f t="shared" si="38"/>
        <v>0</v>
      </c>
      <c r="M898" s="17"/>
      <c r="N898" s="129"/>
    </row>
    <row r="899" spans="1:14" ht="14.25">
      <c r="A899" t="s">
        <v>116</v>
      </c>
      <c r="B899" s="196">
        <v>4</v>
      </c>
      <c r="C899" s="196">
        <v>2</v>
      </c>
      <c r="D899" s="118">
        <v>0</v>
      </c>
      <c r="E899" s="215">
        <v>0</v>
      </c>
      <c r="F899" s="94" t="s">
        <v>515</v>
      </c>
      <c r="G899" s="87" t="s">
        <v>1610</v>
      </c>
      <c r="H899" s="100">
        <v>0</v>
      </c>
      <c r="I899" s="12">
        <v>0</v>
      </c>
      <c r="J899" s="12"/>
      <c r="K899" s="12"/>
      <c r="L899" s="419">
        <f t="shared" si="38"/>
        <v>0</v>
      </c>
      <c r="M899" s="17"/>
      <c r="N899" s="129"/>
    </row>
    <row r="900" spans="1:14" ht="14.25">
      <c r="A900" t="s">
        <v>116</v>
      </c>
      <c r="B900" s="196">
        <v>4</v>
      </c>
      <c r="C900" s="196">
        <v>2</v>
      </c>
      <c r="D900" s="118">
        <v>0</v>
      </c>
      <c r="E900" s="215">
        <v>0</v>
      </c>
      <c r="F900" s="94" t="s">
        <v>475</v>
      </c>
      <c r="G900" s="95" t="s">
        <v>1610</v>
      </c>
      <c r="H900" s="100">
        <v>4</v>
      </c>
      <c r="I900" s="123">
        <v>1276</v>
      </c>
      <c r="J900" s="12"/>
      <c r="K900" s="12"/>
      <c r="L900" s="419">
        <f t="shared" si="38"/>
        <v>5104</v>
      </c>
      <c r="M900" s="17"/>
      <c r="N900" s="129"/>
    </row>
    <row r="901" spans="1:14" ht="14.25">
      <c r="A901" t="s">
        <v>116</v>
      </c>
      <c r="B901" s="196">
        <v>4</v>
      </c>
      <c r="C901" s="196">
        <v>2</v>
      </c>
      <c r="D901" s="118">
        <v>0</v>
      </c>
      <c r="E901" s="215">
        <v>0</v>
      </c>
      <c r="F901" s="94" t="s">
        <v>474</v>
      </c>
      <c r="G901" s="95" t="s">
        <v>1610</v>
      </c>
      <c r="H901" s="100">
        <v>1</v>
      </c>
      <c r="I901" s="123">
        <v>1270</v>
      </c>
      <c r="J901" s="12"/>
      <c r="K901" s="12"/>
      <c r="L901" s="419">
        <f t="shared" si="38"/>
        <v>1270</v>
      </c>
      <c r="M901" s="17"/>
      <c r="N901" s="129"/>
    </row>
    <row r="902" spans="1:14" ht="14.25">
      <c r="A902" t="s">
        <v>116</v>
      </c>
      <c r="B902" s="196">
        <v>4</v>
      </c>
      <c r="C902" s="196">
        <v>2</v>
      </c>
      <c r="D902" s="118">
        <v>4</v>
      </c>
      <c r="E902" s="215">
        <v>5104</v>
      </c>
      <c r="F902" s="94" t="s">
        <v>473</v>
      </c>
      <c r="G902" s="95" t="s">
        <v>1610</v>
      </c>
      <c r="H902" s="100">
        <v>1</v>
      </c>
      <c r="I902" s="123">
        <v>1272</v>
      </c>
      <c r="J902" s="12"/>
      <c r="K902" s="12"/>
      <c r="L902" s="419">
        <f t="shared" si="38"/>
        <v>1272</v>
      </c>
      <c r="M902" s="17"/>
      <c r="N902" s="129"/>
    </row>
    <row r="903" spans="1:14" ht="14.25">
      <c r="A903" t="s">
        <v>116</v>
      </c>
      <c r="B903" s="196">
        <v>4</v>
      </c>
      <c r="C903" s="196">
        <v>2</v>
      </c>
      <c r="D903" s="118">
        <v>1</v>
      </c>
      <c r="E903" s="215">
        <v>1270</v>
      </c>
      <c r="F903" s="94" t="s">
        <v>255</v>
      </c>
      <c r="G903" s="95" t="s">
        <v>1610</v>
      </c>
      <c r="H903" s="100">
        <v>1</v>
      </c>
      <c r="I903" s="17">
        <v>1274</v>
      </c>
      <c r="J903" s="17"/>
      <c r="K903" s="17"/>
      <c r="L903" s="419">
        <f t="shared" si="38"/>
        <v>1274</v>
      </c>
      <c r="M903" s="17"/>
      <c r="N903" s="129"/>
    </row>
    <row r="904" spans="1:14" ht="14.25">
      <c r="A904" t="s">
        <v>116</v>
      </c>
      <c r="B904" s="196">
        <v>4</v>
      </c>
      <c r="C904" s="196">
        <v>2</v>
      </c>
      <c r="D904" s="118">
        <v>1</v>
      </c>
      <c r="E904" s="215">
        <v>1272</v>
      </c>
      <c r="F904" s="94" t="s">
        <v>255</v>
      </c>
      <c r="G904" s="95"/>
      <c r="H904" s="100">
        <v>1</v>
      </c>
      <c r="I904" s="17">
        <v>1274</v>
      </c>
      <c r="J904" s="17"/>
      <c r="K904" s="17"/>
      <c r="L904" s="419">
        <f t="shared" si="38"/>
        <v>1274</v>
      </c>
      <c r="M904" s="17"/>
      <c r="N904" s="129"/>
    </row>
    <row r="905" spans="1:14" ht="14.25">
      <c r="A905" t="s">
        <v>116</v>
      </c>
      <c r="B905" s="196">
        <v>4</v>
      </c>
      <c r="C905" s="196">
        <v>2</v>
      </c>
      <c r="D905" s="118">
        <v>1</v>
      </c>
      <c r="E905" s="206">
        <v>1274</v>
      </c>
      <c r="F905" s="94" t="s">
        <v>257</v>
      </c>
      <c r="G905" s="95"/>
      <c r="H905" s="100">
        <v>1</v>
      </c>
      <c r="I905" s="17">
        <v>1275</v>
      </c>
      <c r="J905" s="17"/>
      <c r="K905" s="17"/>
      <c r="L905" s="419">
        <f t="shared" si="38"/>
        <v>1275</v>
      </c>
      <c r="M905" s="17"/>
      <c r="N905" s="129"/>
    </row>
    <row r="906" spans="1:14" ht="14.25">
      <c r="A906" t="s">
        <v>116</v>
      </c>
      <c r="B906" s="196">
        <v>4</v>
      </c>
      <c r="C906" s="196">
        <v>2</v>
      </c>
      <c r="D906" s="118">
        <v>1</v>
      </c>
      <c r="E906" s="206">
        <v>1274</v>
      </c>
      <c r="F906" s="94" t="s">
        <v>256</v>
      </c>
      <c r="G906" s="87"/>
      <c r="H906" s="100">
        <v>1</v>
      </c>
      <c r="I906" s="17">
        <v>1275</v>
      </c>
      <c r="J906" s="17"/>
      <c r="K906" s="17"/>
      <c r="L906" s="419">
        <f t="shared" si="38"/>
        <v>1275</v>
      </c>
      <c r="M906" s="17"/>
      <c r="N906" s="129"/>
    </row>
    <row r="907" spans="1:14" ht="14.25">
      <c r="A907" t="s">
        <v>116</v>
      </c>
      <c r="B907" s="196">
        <v>4</v>
      </c>
      <c r="C907" s="196">
        <v>2</v>
      </c>
      <c r="D907" s="118">
        <v>1</v>
      </c>
      <c r="E907" s="206">
        <v>1275</v>
      </c>
      <c r="F907" s="94" t="s">
        <v>256</v>
      </c>
      <c r="G907" s="87"/>
      <c r="H907" s="100">
        <v>1</v>
      </c>
      <c r="I907" s="17">
        <v>1275</v>
      </c>
      <c r="J907" s="17"/>
      <c r="K907" s="17"/>
      <c r="L907" s="419">
        <f t="shared" si="38"/>
        <v>1275</v>
      </c>
      <c r="M907" s="17"/>
      <c r="N907" s="129"/>
    </row>
    <row r="908" spans="1:14" ht="14.25">
      <c r="A908" t="s">
        <v>116</v>
      </c>
      <c r="B908" s="196">
        <v>4</v>
      </c>
      <c r="C908" s="196">
        <v>2</v>
      </c>
      <c r="D908" s="118">
        <v>1</v>
      </c>
      <c r="E908" s="206">
        <v>1275</v>
      </c>
      <c r="F908" s="94" t="s">
        <v>517</v>
      </c>
      <c r="G908" s="87"/>
      <c r="H908" s="100">
        <v>1</v>
      </c>
      <c r="I908" s="123">
        <v>1300</v>
      </c>
      <c r="J908" s="12"/>
      <c r="K908" s="12"/>
      <c r="L908" s="419">
        <f t="shared" si="38"/>
        <v>1300</v>
      </c>
      <c r="M908" s="17"/>
      <c r="N908" s="129"/>
    </row>
    <row r="909" spans="1:14" ht="14.25">
      <c r="A909" t="s">
        <v>116</v>
      </c>
      <c r="B909" s="196">
        <v>4</v>
      </c>
      <c r="C909" s="196">
        <v>2</v>
      </c>
      <c r="D909" s="118">
        <v>1</v>
      </c>
      <c r="E909" s="206">
        <v>1275</v>
      </c>
      <c r="F909" s="94" t="s">
        <v>518</v>
      </c>
      <c r="G909" s="87" t="s">
        <v>1610</v>
      </c>
      <c r="H909" s="100">
        <v>1</v>
      </c>
      <c r="I909" s="123">
        <v>1100</v>
      </c>
      <c r="J909" s="12"/>
      <c r="K909" s="12"/>
      <c r="L909" s="419">
        <f t="shared" si="38"/>
        <v>1100</v>
      </c>
      <c r="M909" s="17"/>
      <c r="N909" s="129"/>
    </row>
    <row r="910" spans="1:14" ht="14.25">
      <c r="A910" t="s">
        <v>116</v>
      </c>
      <c r="B910" s="196">
        <v>4</v>
      </c>
      <c r="C910" s="196">
        <v>2</v>
      </c>
      <c r="D910" s="118">
        <v>1</v>
      </c>
      <c r="E910" s="215">
        <v>1300</v>
      </c>
      <c r="F910" s="94" t="s">
        <v>519</v>
      </c>
      <c r="G910" s="95" t="s">
        <v>1610</v>
      </c>
      <c r="H910" s="100">
        <v>1</v>
      </c>
      <c r="I910" s="123">
        <v>1150</v>
      </c>
      <c r="J910" s="12"/>
      <c r="K910" s="12"/>
      <c r="L910" s="419">
        <f t="shared" si="38"/>
        <v>1150</v>
      </c>
      <c r="M910" s="17"/>
      <c r="N910" s="129"/>
    </row>
    <row r="911" spans="1:14" ht="14.25">
      <c r="A911" t="s">
        <v>116</v>
      </c>
      <c r="B911" s="196">
        <v>4</v>
      </c>
      <c r="C911" s="196">
        <v>2</v>
      </c>
      <c r="D911" s="118">
        <v>1</v>
      </c>
      <c r="E911" s="215">
        <v>1100</v>
      </c>
      <c r="F911" s="94" t="s">
        <v>1583</v>
      </c>
      <c r="G911" s="95" t="s">
        <v>1610</v>
      </c>
      <c r="H911" s="100">
        <v>1</v>
      </c>
      <c r="I911" s="17">
        <v>28000</v>
      </c>
      <c r="J911" s="17"/>
      <c r="K911" s="17"/>
      <c r="L911" s="419">
        <f t="shared" si="38"/>
        <v>28000</v>
      </c>
      <c r="M911" s="17"/>
      <c r="N911" s="129"/>
    </row>
    <row r="912" spans="1:14" ht="15">
      <c r="A912" t="s">
        <v>97</v>
      </c>
      <c r="B912" s="196">
        <v>4</v>
      </c>
      <c r="C912" s="196">
        <v>2</v>
      </c>
      <c r="D912" s="118">
        <v>1</v>
      </c>
      <c r="E912" s="215">
        <v>1150</v>
      </c>
      <c r="F912" s="94" t="s">
        <v>1584</v>
      </c>
      <c r="G912" s="95" t="s">
        <v>1543</v>
      </c>
      <c r="H912" s="552">
        <v>5</v>
      </c>
      <c r="I912" s="545">
        <v>9900</v>
      </c>
      <c r="J912" s="17"/>
      <c r="K912" s="17"/>
      <c r="L912" s="419">
        <f t="shared" si="38"/>
        <v>49500</v>
      </c>
      <c r="M912" s="17"/>
      <c r="N912" s="129"/>
    </row>
    <row r="913" spans="1:14" ht="15">
      <c r="A913" t="s">
        <v>782</v>
      </c>
      <c r="B913" s="196">
        <v>4</v>
      </c>
      <c r="C913" s="196">
        <v>2</v>
      </c>
      <c r="D913" s="118">
        <v>5</v>
      </c>
      <c r="E913" s="226">
        <v>137750</v>
      </c>
      <c r="F913" s="564" t="s">
        <v>784</v>
      </c>
      <c r="G913" s="533" t="s">
        <v>509</v>
      </c>
      <c r="H913" s="552">
        <v>4</v>
      </c>
      <c r="I913" s="545">
        <v>36950</v>
      </c>
      <c r="J913" s="17"/>
      <c r="K913" s="17"/>
      <c r="L913" s="419">
        <f t="shared" si="38"/>
        <v>147800</v>
      </c>
      <c r="M913" s="17"/>
      <c r="N913" s="129"/>
    </row>
    <row r="914" spans="1:14" ht="14.25">
      <c r="A914" t="s">
        <v>782</v>
      </c>
      <c r="B914" s="196">
        <v>4</v>
      </c>
      <c r="C914" s="196">
        <v>2</v>
      </c>
      <c r="D914" s="118">
        <v>3</v>
      </c>
      <c r="E914" s="226">
        <v>81780</v>
      </c>
      <c r="F914" s="564" t="s">
        <v>783</v>
      </c>
      <c r="G914" s="533" t="s">
        <v>509</v>
      </c>
      <c r="H914" s="120">
        <v>3</v>
      </c>
      <c r="I914" s="647">
        <v>21100</v>
      </c>
      <c r="J914" s="17"/>
      <c r="K914" s="17"/>
      <c r="L914" s="419">
        <f t="shared" si="38"/>
        <v>63300</v>
      </c>
      <c r="M914" s="17"/>
      <c r="N914" s="129"/>
    </row>
    <row r="915" spans="1:14" ht="14.25">
      <c r="A915" t="s">
        <v>97</v>
      </c>
      <c r="B915" s="196">
        <v>4</v>
      </c>
      <c r="C915" s="196">
        <v>2</v>
      </c>
      <c r="D915" s="118">
        <v>5</v>
      </c>
      <c r="E915" s="226">
        <v>147355</v>
      </c>
      <c r="F915" s="592" t="s">
        <v>1585</v>
      </c>
      <c r="G915" s="617"/>
      <c r="H915" s="133">
        <v>0</v>
      </c>
      <c r="I915" s="647">
        <v>0</v>
      </c>
      <c r="J915" s="17"/>
      <c r="K915" s="17"/>
      <c r="L915" s="419"/>
      <c r="M915" s="17"/>
      <c r="N915" s="129"/>
    </row>
    <row r="916" spans="1:14" ht="14.25">
      <c r="A916" t="s">
        <v>97</v>
      </c>
      <c r="B916" s="196">
        <v>4</v>
      </c>
      <c r="C916" s="196">
        <v>2</v>
      </c>
      <c r="D916" s="118">
        <v>3</v>
      </c>
      <c r="E916" s="226">
        <v>63300</v>
      </c>
      <c r="F916" s="592" t="s">
        <v>1586</v>
      </c>
      <c r="G916" s="617" t="s">
        <v>1543</v>
      </c>
      <c r="H916" s="623">
        <v>1</v>
      </c>
      <c r="I916" s="638">
        <v>41890</v>
      </c>
      <c r="J916" s="17"/>
      <c r="K916" s="17"/>
      <c r="L916" s="419">
        <f>(H916*I916)</f>
        <v>41890</v>
      </c>
      <c r="M916" s="17"/>
      <c r="N916" s="129"/>
    </row>
    <row r="917" spans="1:14" ht="15">
      <c r="A917" t="s">
        <v>782</v>
      </c>
      <c r="B917" s="196">
        <v>4</v>
      </c>
      <c r="C917" s="196">
        <v>2</v>
      </c>
      <c r="D917" s="118">
        <v>1</v>
      </c>
      <c r="E917" s="206">
        <v>28000</v>
      </c>
      <c r="F917" s="593" t="s">
        <v>786</v>
      </c>
      <c r="G917" s="296" t="s">
        <v>509</v>
      </c>
      <c r="H917" s="627">
        <v>10</v>
      </c>
      <c r="I917" s="646">
        <v>14800</v>
      </c>
      <c r="J917" s="17"/>
      <c r="K917" s="17"/>
      <c r="L917" s="419">
        <f>(H917*I917)</f>
        <v>148000</v>
      </c>
      <c r="M917" s="17"/>
      <c r="N917" s="129"/>
    </row>
    <row r="918" spans="1:14" ht="15">
      <c r="A918" t="s">
        <v>782</v>
      </c>
      <c r="B918" s="196">
        <v>4</v>
      </c>
      <c r="C918" s="196">
        <v>2</v>
      </c>
      <c r="D918" s="118">
        <v>1</v>
      </c>
      <c r="E918" s="206">
        <v>28500</v>
      </c>
      <c r="F918" s="593" t="s">
        <v>785</v>
      </c>
      <c r="G918" s="296" t="s">
        <v>509</v>
      </c>
      <c r="H918" s="635">
        <v>18</v>
      </c>
      <c r="I918" s="545">
        <v>28560</v>
      </c>
      <c r="J918" s="17"/>
      <c r="K918" s="17"/>
      <c r="L918" s="419">
        <f>(H918*I918)</f>
        <v>514080</v>
      </c>
      <c r="M918" s="17"/>
      <c r="N918" s="129"/>
    </row>
    <row r="919" spans="1:14" ht="14.25">
      <c r="A919" t="s">
        <v>97</v>
      </c>
      <c r="B919" s="196"/>
      <c r="C919" s="196"/>
      <c r="D919" s="118"/>
      <c r="E919" s="206"/>
      <c r="F919" s="592" t="s">
        <v>214</v>
      </c>
      <c r="G919" s="617" t="s">
        <v>1543</v>
      </c>
      <c r="H919" s="16"/>
      <c r="I919" s="17"/>
      <c r="J919" s="17"/>
      <c r="K919" s="17"/>
      <c r="L919" s="419"/>
      <c r="M919" s="17"/>
      <c r="N919" s="129"/>
    </row>
    <row r="920" spans="2:14" ht="14.25">
      <c r="B920" s="196">
        <v>4</v>
      </c>
      <c r="C920" s="196">
        <v>2</v>
      </c>
      <c r="D920" s="118">
        <v>0</v>
      </c>
      <c r="E920" s="206"/>
      <c r="F920" s="593" t="s">
        <v>788</v>
      </c>
      <c r="G920" s="296" t="s">
        <v>787</v>
      </c>
      <c r="H920" s="16">
        <v>0</v>
      </c>
      <c r="I920" s="17">
        <v>0</v>
      </c>
      <c r="J920" s="17"/>
      <c r="K920" s="17"/>
      <c r="L920" s="419"/>
      <c r="M920" s="17"/>
      <c r="N920" s="129"/>
    </row>
    <row r="921" spans="1:14" ht="14.25">
      <c r="A921" t="s">
        <v>117</v>
      </c>
      <c r="B921" s="196">
        <v>4</v>
      </c>
      <c r="C921" s="196">
        <v>2</v>
      </c>
      <c r="D921" s="118">
        <v>0</v>
      </c>
      <c r="E921" s="206"/>
      <c r="F921" s="14" t="s">
        <v>1146</v>
      </c>
      <c r="G921" s="95" t="s">
        <v>1545</v>
      </c>
      <c r="H921" s="16">
        <v>10</v>
      </c>
      <c r="I921" s="17">
        <v>6875.32</v>
      </c>
      <c r="J921" s="17"/>
      <c r="K921" s="17"/>
      <c r="L921" s="419">
        <f aca="true" t="shared" si="39" ref="L921:L927">(H921*I921)</f>
        <v>68753.2</v>
      </c>
      <c r="M921" s="17"/>
      <c r="N921" s="129"/>
    </row>
    <row r="922" spans="1:14" ht="14.25">
      <c r="A922" t="s">
        <v>87</v>
      </c>
      <c r="B922" s="196">
        <v>4</v>
      </c>
      <c r="C922" s="196">
        <v>2</v>
      </c>
      <c r="D922" s="118"/>
      <c r="E922" s="215"/>
      <c r="F922" s="97" t="s">
        <v>1404</v>
      </c>
      <c r="G922" s="15" t="s">
        <v>649</v>
      </c>
      <c r="H922" s="16">
        <v>30</v>
      </c>
      <c r="I922" s="17">
        <v>493</v>
      </c>
      <c r="J922" s="17"/>
      <c r="K922" s="17"/>
      <c r="L922" s="419">
        <f t="shared" si="39"/>
        <v>14790</v>
      </c>
      <c r="M922" s="17"/>
      <c r="N922" s="129"/>
    </row>
    <row r="923" spans="1:14" ht="14.25">
      <c r="A923" t="s">
        <v>87</v>
      </c>
      <c r="B923" s="196">
        <v>4</v>
      </c>
      <c r="C923" s="196">
        <v>2</v>
      </c>
      <c r="D923" s="118">
        <v>10</v>
      </c>
      <c r="E923" s="215">
        <v>68753.2</v>
      </c>
      <c r="F923" s="97" t="s">
        <v>1405</v>
      </c>
      <c r="G923" s="92" t="s">
        <v>649</v>
      </c>
      <c r="H923" s="16">
        <v>30</v>
      </c>
      <c r="I923" s="17">
        <v>495</v>
      </c>
      <c r="J923" s="17"/>
      <c r="K923" s="17"/>
      <c r="L923" s="419">
        <f t="shared" si="39"/>
        <v>14850</v>
      </c>
      <c r="M923" s="17"/>
      <c r="N923" s="129"/>
    </row>
    <row r="924" spans="1:14" ht="14.25">
      <c r="A924" t="s">
        <v>87</v>
      </c>
      <c r="B924" s="196">
        <v>4</v>
      </c>
      <c r="C924" s="196">
        <v>2</v>
      </c>
      <c r="D924" s="118">
        <v>30</v>
      </c>
      <c r="E924" s="215">
        <v>14790</v>
      </c>
      <c r="F924" s="97" t="s">
        <v>1403</v>
      </c>
      <c r="G924" s="92" t="s">
        <v>649</v>
      </c>
      <c r="H924" s="16">
        <v>50</v>
      </c>
      <c r="I924" s="17">
        <v>490.8</v>
      </c>
      <c r="J924" s="17"/>
      <c r="K924" s="17"/>
      <c r="L924" s="419">
        <f t="shared" si="39"/>
        <v>24540</v>
      </c>
      <c r="M924" s="17"/>
      <c r="N924" s="129"/>
    </row>
    <row r="925" spans="1:14" ht="14.25">
      <c r="A925" t="s">
        <v>87</v>
      </c>
      <c r="B925" s="196">
        <v>4</v>
      </c>
      <c r="C925" s="196">
        <v>2</v>
      </c>
      <c r="D925" s="118">
        <v>30</v>
      </c>
      <c r="E925" s="215">
        <v>14850</v>
      </c>
      <c r="F925" s="97" t="s">
        <v>1408</v>
      </c>
      <c r="G925" s="92" t="s">
        <v>649</v>
      </c>
      <c r="H925" s="552">
        <v>90</v>
      </c>
      <c r="I925" s="544">
        <v>1297</v>
      </c>
      <c r="J925" s="17"/>
      <c r="K925" s="17"/>
      <c r="L925" s="419">
        <f t="shared" si="39"/>
        <v>116730</v>
      </c>
      <c r="M925" s="17"/>
      <c r="N925" s="129"/>
    </row>
    <row r="926" spans="1:14" ht="14.25">
      <c r="A926" t="s">
        <v>87</v>
      </c>
      <c r="B926" s="196">
        <v>4</v>
      </c>
      <c r="C926" s="196">
        <v>2</v>
      </c>
      <c r="D926" s="120">
        <v>50</v>
      </c>
      <c r="E926" s="215">
        <v>24540</v>
      </c>
      <c r="F926" s="14" t="s">
        <v>1147</v>
      </c>
      <c r="G926" s="92" t="s">
        <v>649</v>
      </c>
      <c r="H926" s="133">
        <v>31</v>
      </c>
      <c r="I926" s="143">
        <v>135.7</v>
      </c>
      <c r="J926" s="17"/>
      <c r="K926" s="17"/>
      <c r="L926" s="419">
        <f t="shared" si="39"/>
        <v>4206.7</v>
      </c>
      <c r="M926" s="17"/>
      <c r="N926" s="129"/>
    </row>
    <row r="927" spans="1:14" ht="14.25">
      <c r="A927" t="s">
        <v>87</v>
      </c>
      <c r="B927" s="196">
        <v>4</v>
      </c>
      <c r="C927" s="196">
        <v>2</v>
      </c>
      <c r="D927" s="120"/>
      <c r="E927" s="227">
        <v>0</v>
      </c>
      <c r="F927" s="14" t="s">
        <v>1150</v>
      </c>
      <c r="G927" s="92" t="s">
        <v>649</v>
      </c>
      <c r="H927" s="133">
        <v>30</v>
      </c>
      <c r="I927" s="143">
        <v>440.8</v>
      </c>
      <c r="J927" s="17"/>
      <c r="K927" s="17"/>
      <c r="L927" s="419">
        <f t="shared" si="39"/>
        <v>13224</v>
      </c>
      <c r="M927" s="17"/>
      <c r="N927" s="129"/>
    </row>
    <row r="928" spans="1:14" ht="14.25">
      <c r="A928" t="s">
        <v>87</v>
      </c>
      <c r="B928" s="196">
        <v>4</v>
      </c>
      <c r="C928" s="196">
        <v>2</v>
      </c>
      <c r="D928" s="120">
        <v>31</v>
      </c>
      <c r="E928" s="197">
        <v>4206.7</v>
      </c>
      <c r="F928" s="97" t="s">
        <v>1597</v>
      </c>
      <c r="G928" s="15" t="s">
        <v>649</v>
      </c>
      <c r="H928" s="395">
        <v>300</v>
      </c>
      <c r="I928" s="396">
        <v>928</v>
      </c>
      <c r="J928" s="17"/>
      <c r="K928" s="17"/>
      <c r="L928" s="419"/>
      <c r="M928" s="17"/>
      <c r="N928" s="129"/>
    </row>
    <row r="929" spans="1:14" ht="14.25">
      <c r="A929" t="s">
        <v>87</v>
      </c>
      <c r="B929" s="196">
        <v>4</v>
      </c>
      <c r="C929" s="196">
        <v>2</v>
      </c>
      <c r="D929" s="120">
        <v>30</v>
      </c>
      <c r="E929" s="197">
        <v>13224</v>
      </c>
      <c r="F929" s="14" t="s">
        <v>1151</v>
      </c>
      <c r="G929" s="15"/>
      <c r="H929" s="555">
        <v>15</v>
      </c>
      <c r="I929" s="544">
        <v>14200</v>
      </c>
      <c r="J929" s="17"/>
      <c r="K929" s="17"/>
      <c r="L929" s="419">
        <f>(H929*I929)</f>
        <v>213000</v>
      </c>
      <c r="M929" s="17"/>
      <c r="N929" s="129"/>
    </row>
    <row r="930" spans="1:14" ht="14.25">
      <c r="A930" t="s">
        <v>789</v>
      </c>
      <c r="B930" s="196">
        <v>4</v>
      </c>
      <c r="C930" s="196">
        <v>2</v>
      </c>
      <c r="D930" s="120">
        <v>300</v>
      </c>
      <c r="E930" s="197"/>
      <c r="F930" s="564" t="s">
        <v>790</v>
      </c>
      <c r="G930" s="556" t="s">
        <v>744</v>
      </c>
      <c r="H930" s="133">
        <v>20</v>
      </c>
      <c r="I930" s="143">
        <v>3093.72</v>
      </c>
      <c r="J930" s="17"/>
      <c r="K930" s="17"/>
      <c r="L930" s="419">
        <f>(H930*I930)</f>
        <v>61874.399999999994</v>
      </c>
      <c r="M930" s="17"/>
      <c r="N930" s="129"/>
    </row>
    <row r="931" spans="1:14" ht="15">
      <c r="A931" t="s">
        <v>789</v>
      </c>
      <c r="B931" s="196"/>
      <c r="C931" s="196"/>
      <c r="D931" s="120"/>
      <c r="E931" s="197"/>
      <c r="F931" s="14" t="s">
        <v>1044</v>
      </c>
      <c r="G931" s="92" t="s">
        <v>649</v>
      </c>
      <c r="H931" s="133">
        <v>12</v>
      </c>
      <c r="I931" s="282">
        <v>9375</v>
      </c>
      <c r="J931" s="17"/>
      <c r="K931" s="17"/>
      <c r="L931" s="419">
        <f>(H931*I931)</f>
        <v>112500</v>
      </c>
      <c r="M931" s="17"/>
      <c r="N931" s="129"/>
    </row>
    <row r="932" spans="1:14" ht="15">
      <c r="A932" t="s">
        <v>56</v>
      </c>
      <c r="B932" s="196">
        <v>4</v>
      </c>
      <c r="C932" s="196">
        <v>2</v>
      </c>
      <c r="D932" s="120">
        <v>20</v>
      </c>
      <c r="E932" s="197">
        <v>61874.4</v>
      </c>
      <c r="F932" s="94" t="s">
        <v>284</v>
      </c>
      <c r="G932" s="92"/>
      <c r="H932" s="48"/>
      <c r="I932" s="147"/>
      <c r="J932" s="12"/>
      <c r="K932" s="12"/>
      <c r="L932" s="422"/>
      <c r="M932" s="17"/>
      <c r="N932" s="129"/>
    </row>
    <row r="933" spans="1:14" ht="14.25">
      <c r="A933" t="s">
        <v>118</v>
      </c>
      <c r="B933" s="196">
        <v>4</v>
      </c>
      <c r="C933" s="196">
        <v>2</v>
      </c>
      <c r="D933" s="120">
        <v>12</v>
      </c>
      <c r="E933" s="197">
        <v>112500</v>
      </c>
      <c r="F933" s="14" t="s">
        <v>886</v>
      </c>
      <c r="G933" s="95" t="s">
        <v>1577</v>
      </c>
      <c r="H933" s="133">
        <v>4</v>
      </c>
      <c r="I933" s="143">
        <v>40596.15</v>
      </c>
      <c r="J933" s="17"/>
      <c r="K933" s="17"/>
      <c r="L933" s="419">
        <f aca="true" t="shared" si="40" ref="L933:L975">(H933*I933)</f>
        <v>162384.6</v>
      </c>
      <c r="M933" s="17"/>
      <c r="N933" s="129"/>
    </row>
    <row r="934" spans="1:14" ht="15">
      <c r="A934" t="s">
        <v>119</v>
      </c>
      <c r="B934" s="196">
        <v>4</v>
      </c>
      <c r="C934" s="196">
        <v>2</v>
      </c>
      <c r="D934" s="120"/>
      <c r="E934" s="197"/>
      <c r="F934" s="14" t="s">
        <v>1152</v>
      </c>
      <c r="G934" s="15" t="s">
        <v>649</v>
      </c>
      <c r="H934" s="133">
        <v>5</v>
      </c>
      <c r="I934" s="143">
        <v>19976.65</v>
      </c>
      <c r="J934" s="17"/>
      <c r="K934" s="17"/>
      <c r="L934" s="419">
        <f t="shared" si="40"/>
        <v>99883.25</v>
      </c>
      <c r="M934" s="13"/>
      <c r="N934" s="318"/>
    </row>
    <row r="935" spans="1:14" ht="14.25">
      <c r="A935" t="s">
        <v>119</v>
      </c>
      <c r="B935" s="196">
        <v>4</v>
      </c>
      <c r="C935" s="196">
        <v>2</v>
      </c>
      <c r="D935" s="120">
        <v>4</v>
      </c>
      <c r="E935" s="197">
        <v>162384.6</v>
      </c>
      <c r="F935" s="14" t="s">
        <v>1153</v>
      </c>
      <c r="G935" s="15" t="s">
        <v>649</v>
      </c>
      <c r="H935" s="133">
        <v>2</v>
      </c>
      <c r="I935" s="143">
        <v>28302.65</v>
      </c>
      <c r="J935" s="17"/>
      <c r="K935" s="17"/>
      <c r="L935" s="419">
        <f t="shared" si="40"/>
        <v>56605.3</v>
      </c>
      <c r="M935" s="17"/>
      <c r="N935" s="129"/>
    </row>
    <row r="936" spans="1:14" ht="14.25">
      <c r="A936" t="s">
        <v>119</v>
      </c>
      <c r="B936" s="196">
        <v>4</v>
      </c>
      <c r="C936" s="196">
        <v>2</v>
      </c>
      <c r="D936" s="120">
        <v>5</v>
      </c>
      <c r="E936" s="197">
        <v>99883.25</v>
      </c>
      <c r="F936" s="14" t="s">
        <v>1154</v>
      </c>
      <c r="G936" s="15" t="s">
        <v>649</v>
      </c>
      <c r="H936" s="133">
        <v>2</v>
      </c>
      <c r="I936" s="143">
        <v>27113.55</v>
      </c>
      <c r="J936" s="17"/>
      <c r="K936" s="17"/>
      <c r="L936" s="419">
        <f t="shared" si="40"/>
        <v>54227.1</v>
      </c>
      <c r="M936" s="17"/>
      <c r="N936" s="129"/>
    </row>
    <row r="937" spans="1:14" ht="14.25">
      <c r="A937" t="s">
        <v>119</v>
      </c>
      <c r="B937" s="196">
        <v>4</v>
      </c>
      <c r="C937" s="196">
        <v>2</v>
      </c>
      <c r="D937" s="120">
        <v>2</v>
      </c>
      <c r="E937" s="197">
        <v>56605.3</v>
      </c>
      <c r="F937" s="14" t="s">
        <v>1155</v>
      </c>
      <c r="G937" s="15" t="s">
        <v>649</v>
      </c>
      <c r="H937" s="16">
        <v>4</v>
      </c>
      <c r="I937" s="17">
        <v>18521.9</v>
      </c>
      <c r="J937" s="17"/>
      <c r="K937" s="17"/>
      <c r="L937" s="419">
        <f t="shared" si="40"/>
        <v>74087.6</v>
      </c>
      <c r="M937" s="17"/>
      <c r="N937" s="129"/>
    </row>
    <row r="938" spans="1:14" ht="14.25">
      <c r="A938" t="s">
        <v>119</v>
      </c>
      <c r="B938" s="196">
        <v>4</v>
      </c>
      <c r="C938" s="196">
        <v>2</v>
      </c>
      <c r="D938" s="120">
        <v>2</v>
      </c>
      <c r="E938" s="197">
        <v>54227.1</v>
      </c>
      <c r="F938" s="14" t="s">
        <v>1156</v>
      </c>
      <c r="G938" s="15" t="s">
        <v>649</v>
      </c>
      <c r="H938" s="16">
        <v>2</v>
      </c>
      <c r="I938" s="143">
        <v>40822.7</v>
      </c>
      <c r="J938" s="17"/>
      <c r="K938" s="17"/>
      <c r="L938" s="419">
        <f t="shared" si="40"/>
        <v>81645.4</v>
      </c>
      <c r="M938" s="17"/>
      <c r="N938" s="129"/>
    </row>
    <row r="939" spans="1:14" ht="15">
      <c r="A939" t="s">
        <v>120</v>
      </c>
      <c r="B939" s="196">
        <v>4</v>
      </c>
      <c r="C939" s="196">
        <v>2</v>
      </c>
      <c r="D939" s="120">
        <v>30</v>
      </c>
      <c r="E939" s="215">
        <v>60795.6</v>
      </c>
      <c r="F939" s="603" t="s">
        <v>955</v>
      </c>
      <c r="G939" s="621" t="s">
        <v>509</v>
      </c>
      <c r="H939" s="554">
        <v>36</v>
      </c>
      <c r="I939" s="648">
        <v>2430</v>
      </c>
      <c r="J939" s="17"/>
      <c r="K939" s="17"/>
      <c r="L939" s="419">
        <f t="shared" si="40"/>
        <v>87480</v>
      </c>
      <c r="M939" s="17"/>
      <c r="N939" s="129"/>
    </row>
    <row r="940" spans="1:14" ht="14.25">
      <c r="A940" t="s">
        <v>119</v>
      </c>
      <c r="B940" s="196">
        <v>4</v>
      </c>
      <c r="C940" s="196">
        <v>2</v>
      </c>
      <c r="D940" s="120">
        <v>4</v>
      </c>
      <c r="E940" s="197">
        <v>74087.6</v>
      </c>
      <c r="F940" s="14" t="s">
        <v>1157</v>
      </c>
      <c r="G940" s="92" t="s">
        <v>649</v>
      </c>
      <c r="H940" s="133">
        <v>5</v>
      </c>
      <c r="I940" s="143">
        <v>12006</v>
      </c>
      <c r="J940" s="17"/>
      <c r="K940" s="17"/>
      <c r="L940" s="419">
        <f t="shared" si="40"/>
        <v>60030</v>
      </c>
      <c r="M940" s="17"/>
      <c r="N940" s="129"/>
    </row>
    <row r="941" spans="1:14" ht="14.25">
      <c r="A941" t="s">
        <v>120</v>
      </c>
      <c r="B941" s="196">
        <v>4</v>
      </c>
      <c r="C941" s="196">
        <v>2</v>
      </c>
      <c r="D941" s="120">
        <v>2</v>
      </c>
      <c r="E941" s="197">
        <v>81645.4</v>
      </c>
      <c r="F941" s="97" t="s">
        <v>1407</v>
      </c>
      <c r="G941" s="92" t="s">
        <v>649</v>
      </c>
      <c r="H941" s="133">
        <v>5</v>
      </c>
      <c r="I941" s="143">
        <v>2026.52</v>
      </c>
      <c r="J941" s="17"/>
      <c r="K941" s="17"/>
      <c r="L941" s="419">
        <f t="shared" si="40"/>
        <v>10132.6</v>
      </c>
      <c r="M941" s="17"/>
      <c r="N941" s="129"/>
    </row>
    <row r="942" spans="1:14" ht="15">
      <c r="A942" t="s">
        <v>120</v>
      </c>
      <c r="B942" s="196">
        <v>4</v>
      </c>
      <c r="C942" s="196">
        <v>2</v>
      </c>
      <c r="D942" s="120">
        <v>5</v>
      </c>
      <c r="E942" s="197">
        <v>25000</v>
      </c>
      <c r="F942" s="603" t="s">
        <v>954</v>
      </c>
      <c r="G942" s="621" t="s">
        <v>509</v>
      </c>
      <c r="H942" s="554">
        <v>10</v>
      </c>
      <c r="I942" s="545">
        <v>2450</v>
      </c>
      <c r="J942" s="17"/>
      <c r="K942" s="17"/>
      <c r="L942" s="419">
        <f t="shared" si="40"/>
        <v>24500</v>
      </c>
      <c r="M942" s="17"/>
      <c r="N942" s="129"/>
    </row>
    <row r="943" spans="1:14" ht="14.25">
      <c r="A943" t="s">
        <v>120</v>
      </c>
      <c r="B943" s="196">
        <v>4</v>
      </c>
      <c r="C943" s="196">
        <v>2</v>
      </c>
      <c r="D943" s="120">
        <v>5</v>
      </c>
      <c r="E943" s="197">
        <v>10132.6</v>
      </c>
      <c r="F943" s="551" t="s">
        <v>953</v>
      </c>
      <c r="G943" s="557" t="s">
        <v>509</v>
      </c>
      <c r="H943" s="133">
        <v>25</v>
      </c>
      <c r="I943" s="639">
        <v>2026.52</v>
      </c>
      <c r="J943" s="17"/>
      <c r="K943" s="17"/>
      <c r="L943" s="419">
        <f t="shared" si="40"/>
        <v>50663</v>
      </c>
      <c r="M943" s="17"/>
      <c r="N943" s="129"/>
    </row>
    <row r="944" spans="1:14" ht="14.25">
      <c r="A944" t="s">
        <v>120</v>
      </c>
      <c r="B944" s="196">
        <v>4</v>
      </c>
      <c r="C944" s="196">
        <v>2</v>
      </c>
      <c r="D944" s="120">
        <v>5</v>
      </c>
      <c r="E944" s="197">
        <v>60030</v>
      </c>
      <c r="F944" s="610" t="s">
        <v>1406</v>
      </c>
      <c r="G944" s="92" t="s">
        <v>649</v>
      </c>
      <c r="H944" s="133">
        <v>30</v>
      </c>
      <c r="I944" s="639">
        <v>2026.52</v>
      </c>
      <c r="J944" s="17"/>
      <c r="K944" s="17"/>
      <c r="L944" s="419">
        <f t="shared" si="40"/>
        <v>60795.6</v>
      </c>
      <c r="M944" s="17"/>
      <c r="N944" s="129"/>
    </row>
    <row r="945" spans="1:14" ht="15">
      <c r="A945" t="s">
        <v>120</v>
      </c>
      <c r="B945" s="196">
        <v>4</v>
      </c>
      <c r="C945" s="196">
        <v>2</v>
      </c>
      <c r="D945" s="120">
        <v>5</v>
      </c>
      <c r="E945" s="197">
        <v>10132.6</v>
      </c>
      <c r="F945" s="605" t="s">
        <v>1158</v>
      </c>
      <c r="G945" s="92" t="s">
        <v>649</v>
      </c>
      <c r="H945" s="554">
        <v>30</v>
      </c>
      <c r="I945" s="648">
        <v>9800</v>
      </c>
      <c r="J945" s="17"/>
      <c r="K945" s="17"/>
      <c r="L945" s="419">
        <f t="shared" si="40"/>
        <v>294000</v>
      </c>
      <c r="M945" s="17"/>
      <c r="N945" s="129"/>
    </row>
    <row r="946" spans="1:14" ht="14.25">
      <c r="A946" t="s">
        <v>120</v>
      </c>
      <c r="B946" s="196">
        <v>4</v>
      </c>
      <c r="C946" s="196">
        <v>2</v>
      </c>
      <c r="D946" s="120">
        <v>5</v>
      </c>
      <c r="E946" s="197">
        <v>3500</v>
      </c>
      <c r="F946" s="14" t="s">
        <v>1159</v>
      </c>
      <c r="G946" s="92" t="s">
        <v>649</v>
      </c>
      <c r="H946" s="133">
        <v>5</v>
      </c>
      <c r="I946" s="143">
        <v>500</v>
      </c>
      <c r="J946" s="17"/>
      <c r="K946" s="17"/>
      <c r="L946" s="419">
        <f t="shared" si="40"/>
        <v>2500</v>
      </c>
      <c r="M946" s="17"/>
      <c r="N946" s="129"/>
    </row>
    <row r="947" spans="1:14" ht="14.25">
      <c r="A947" t="s">
        <v>120</v>
      </c>
      <c r="B947" s="196">
        <v>4</v>
      </c>
      <c r="C947" s="196">
        <v>2</v>
      </c>
      <c r="D947" s="120">
        <v>25</v>
      </c>
      <c r="E947" s="197">
        <v>50663</v>
      </c>
      <c r="F947" s="94" t="s">
        <v>1178</v>
      </c>
      <c r="G947" s="92" t="s">
        <v>649</v>
      </c>
      <c r="H947" s="118">
        <v>200</v>
      </c>
      <c r="I947" s="121">
        <v>27.84</v>
      </c>
      <c r="J947" s="17"/>
      <c r="K947" s="17"/>
      <c r="L947" s="419">
        <f t="shared" si="40"/>
        <v>5568</v>
      </c>
      <c r="M947" s="17"/>
      <c r="N947" s="129"/>
    </row>
    <row r="948" spans="1:14" ht="14.25">
      <c r="A948" t="s">
        <v>78</v>
      </c>
      <c r="B948" s="196"/>
      <c r="C948" s="196"/>
      <c r="D948" s="120"/>
      <c r="E948" s="197"/>
      <c r="F948" s="603" t="s">
        <v>960</v>
      </c>
      <c r="G948" s="557" t="s">
        <v>509</v>
      </c>
      <c r="H948" s="133">
        <v>50</v>
      </c>
      <c r="I948" s="143">
        <v>20.88</v>
      </c>
      <c r="J948" s="17"/>
      <c r="K948" s="17"/>
      <c r="L948" s="419">
        <f t="shared" si="40"/>
        <v>1044</v>
      </c>
      <c r="M948" s="17"/>
      <c r="N948" s="129"/>
    </row>
    <row r="949" spans="1:14" ht="15">
      <c r="A949" t="s">
        <v>78</v>
      </c>
      <c r="B949" s="196">
        <v>4</v>
      </c>
      <c r="C949" s="196">
        <v>2</v>
      </c>
      <c r="D949" s="118">
        <v>10</v>
      </c>
      <c r="E949" s="197">
        <v>48000</v>
      </c>
      <c r="F949" s="611" t="s">
        <v>959</v>
      </c>
      <c r="G949" s="87" t="s">
        <v>1627</v>
      </c>
      <c r="H949" s="133">
        <v>4</v>
      </c>
      <c r="I949" s="121">
        <v>5100</v>
      </c>
      <c r="J949" s="17"/>
      <c r="K949" s="17"/>
      <c r="L949" s="419">
        <f t="shared" si="40"/>
        <v>20400</v>
      </c>
      <c r="M949" s="17"/>
      <c r="N949" s="129"/>
    </row>
    <row r="950" spans="1:14" ht="15">
      <c r="A950" t="s">
        <v>78</v>
      </c>
      <c r="B950" s="196">
        <v>4</v>
      </c>
      <c r="C950" s="196">
        <v>2</v>
      </c>
      <c r="D950" s="120">
        <v>10</v>
      </c>
      <c r="E950" s="197">
        <v>40450</v>
      </c>
      <c r="F950" s="97" t="s">
        <v>673</v>
      </c>
      <c r="G950" s="87" t="s">
        <v>141</v>
      </c>
      <c r="H950" s="278">
        <v>1</v>
      </c>
      <c r="I950" s="650">
        <v>28420</v>
      </c>
      <c r="J950" s="17"/>
      <c r="K950" s="17"/>
      <c r="L950" s="419">
        <f t="shared" si="40"/>
        <v>28420</v>
      </c>
      <c r="M950" s="17"/>
      <c r="N950" s="129"/>
    </row>
    <row r="951" spans="1:14" ht="14.25">
      <c r="A951" t="s">
        <v>78</v>
      </c>
      <c r="B951" s="196">
        <v>4</v>
      </c>
      <c r="C951" s="196">
        <v>2</v>
      </c>
      <c r="D951" s="120">
        <v>200</v>
      </c>
      <c r="E951" s="197">
        <v>4356.96</v>
      </c>
      <c r="F951" s="94" t="s">
        <v>149</v>
      </c>
      <c r="G951" s="95"/>
      <c r="H951" s="16">
        <v>10</v>
      </c>
      <c r="I951" s="121">
        <v>4040</v>
      </c>
      <c r="J951" s="17"/>
      <c r="K951" s="17"/>
      <c r="L951" s="419">
        <f t="shared" si="40"/>
        <v>40400</v>
      </c>
      <c r="M951" s="17"/>
      <c r="N951" s="129"/>
    </row>
    <row r="952" spans="1:14" ht="14.25">
      <c r="A952" t="s">
        <v>78</v>
      </c>
      <c r="B952" s="196">
        <v>4</v>
      </c>
      <c r="C952" s="196">
        <v>2</v>
      </c>
      <c r="D952" s="120">
        <v>200</v>
      </c>
      <c r="E952" s="197">
        <v>8282.4</v>
      </c>
      <c r="F952" s="94" t="s">
        <v>149</v>
      </c>
      <c r="G952" s="95" t="s">
        <v>141</v>
      </c>
      <c r="H952" s="16">
        <v>10</v>
      </c>
      <c r="I952" s="121">
        <v>4045</v>
      </c>
      <c r="J952" s="17"/>
      <c r="K952" s="17"/>
      <c r="L952" s="419">
        <f t="shared" si="40"/>
        <v>40450</v>
      </c>
      <c r="M952" s="17"/>
      <c r="N952" s="129"/>
    </row>
    <row r="953" spans="1:14" ht="14.25">
      <c r="A953" t="s">
        <v>78</v>
      </c>
      <c r="B953" s="196">
        <v>4</v>
      </c>
      <c r="C953" s="196">
        <v>2</v>
      </c>
      <c r="D953" s="120">
        <v>10</v>
      </c>
      <c r="E953" s="197">
        <v>40400</v>
      </c>
      <c r="F953" s="94" t="s">
        <v>148</v>
      </c>
      <c r="G953" s="87" t="s">
        <v>141</v>
      </c>
      <c r="H953" s="16">
        <v>10</v>
      </c>
      <c r="I953" s="178">
        <v>4046</v>
      </c>
      <c r="J953" s="17"/>
      <c r="K953" s="17"/>
      <c r="L953" s="419">
        <f t="shared" si="40"/>
        <v>40460</v>
      </c>
      <c r="M953" s="17"/>
      <c r="N953" s="129"/>
    </row>
    <row r="954" spans="1:14" ht="14.25">
      <c r="A954" t="s">
        <v>78</v>
      </c>
      <c r="B954" s="196">
        <v>4</v>
      </c>
      <c r="C954" s="196">
        <v>2</v>
      </c>
      <c r="D954" s="120">
        <v>10</v>
      </c>
      <c r="E954" s="197">
        <v>40460</v>
      </c>
      <c r="F954" s="94" t="s">
        <v>148</v>
      </c>
      <c r="G954" s="87"/>
      <c r="H954" s="16">
        <v>10</v>
      </c>
      <c r="I954" s="135">
        <v>4800</v>
      </c>
      <c r="J954" s="17"/>
      <c r="K954" s="17"/>
      <c r="L954" s="419">
        <f t="shared" si="40"/>
        <v>48000</v>
      </c>
      <c r="M954" s="17"/>
      <c r="N954" s="129"/>
    </row>
    <row r="955" spans="1:14" ht="15">
      <c r="A955" t="s">
        <v>78</v>
      </c>
      <c r="B955" s="196">
        <v>4</v>
      </c>
      <c r="C955" s="196">
        <v>2</v>
      </c>
      <c r="D955" s="120">
        <v>1</v>
      </c>
      <c r="E955" s="203">
        <v>28420</v>
      </c>
      <c r="F955" s="94" t="s">
        <v>147</v>
      </c>
      <c r="G955" s="87" t="s">
        <v>141</v>
      </c>
      <c r="H955" s="561">
        <v>26</v>
      </c>
      <c r="I955" s="545">
        <v>2400</v>
      </c>
      <c r="J955" s="17"/>
      <c r="K955" s="17"/>
      <c r="L955" s="419">
        <f t="shared" si="40"/>
        <v>62400</v>
      </c>
      <c r="M955" s="17"/>
      <c r="N955" s="129"/>
    </row>
    <row r="956" spans="1:14" ht="14.25">
      <c r="A956" t="s">
        <v>78</v>
      </c>
      <c r="B956" s="196">
        <v>4</v>
      </c>
      <c r="C956" s="196">
        <v>2</v>
      </c>
      <c r="D956" s="118">
        <v>10</v>
      </c>
      <c r="E956" s="215">
        <v>49000</v>
      </c>
      <c r="F956" s="260" t="s">
        <v>153</v>
      </c>
      <c r="G956" s="87" t="s">
        <v>141</v>
      </c>
      <c r="H956" s="16">
        <v>4</v>
      </c>
      <c r="I956" s="135">
        <v>5200</v>
      </c>
      <c r="J956" s="17"/>
      <c r="K956" s="17"/>
      <c r="L956" s="419">
        <f t="shared" si="40"/>
        <v>20800</v>
      </c>
      <c r="M956" s="17"/>
      <c r="N956" s="129"/>
    </row>
    <row r="957" spans="1:14" ht="14.25">
      <c r="A957" t="s">
        <v>78</v>
      </c>
      <c r="B957" s="196">
        <v>4</v>
      </c>
      <c r="C957" s="196">
        <v>2</v>
      </c>
      <c r="D957" s="118">
        <v>4</v>
      </c>
      <c r="E957" s="215">
        <v>20400</v>
      </c>
      <c r="F957" s="94" t="s">
        <v>153</v>
      </c>
      <c r="G957" s="95" t="s">
        <v>141</v>
      </c>
      <c r="H957" s="16">
        <v>4</v>
      </c>
      <c r="I957" s="135">
        <v>4640</v>
      </c>
      <c r="J957" s="17"/>
      <c r="K957" s="17"/>
      <c r="L957" s="419">
        <f t="shared" si="40"/>
        <v>18560</v>
      </c>
      <c r="M957" s="17"/>
      <c r="N957" s="129"/>
    </row>
    <row r="958" spans="1:14" ht="14.25">
      <c r="A958" t="s">
        <v>78</v>
      </c>
      <c r="B958" s="196">
        <v>4</v>
      </c>
      <c r="C958" s="196">
        <v>2</v>
      </c>
      <c r="D958" s="118">
        <v>4</v>
      </c>
      <c r="E958" s="215">
        <v>20800</v>
      </c>
      <c r="F958" s="94" t="s">
        <v>152</v>
      </c>
      <c r="G958" s="95" t="s">
        <v>141</v>
      </c>
      <c r="H958" s="16">
        <v>4</v>
      </c>
      <c r="I958" s="135">
        <v>5300</v>
      </c>
      <c r="J958" s="17"/>
      <c r="K958" s="17"/>
      <c r="L958" s="419">
        <f t="shared" si="40"/>
        <v>21200</v>
      </c>
      <c r="M958" s="17"/>
      <c r="N958" s="129"/>
    </row>
    <row r="959" spans="1:14" ht="14.25">
      <c r="A959" t="s">
        <v>78</v>
      </c>
      <c r="B959" s="196">
        <v>4</v>
      </c>
      <c r="C959" s="196">
        <v>2</v>
      </c>
      <c r="D959" s="120">
        <v>4</v>
      </c>
      <c r="E959" s="215">
        <v>18560</v>
      </c>
      <c r="F959" s="94" t="s">
        <v>152</v>
      </c>
      <c r="G959" s="95" t="s">
        <v>141</v>
      </c>
      <c r="H959" s="16">
        <v>4</v>
      </c>
      <c r="I959" s="135">
        <v>6300</v>
      </c>
      <c r="J959" s="17"/>
      <c r="K959" s="17"/>
      <c r="L959" s="419">
        <f t="shared" si="40"/>
        <v>25200</v>
      </c>
      <c r="M959" s="17"/>
      <c r="N959" s="129"/>
    </row>
    <row r="960" spans="1:14" ht="14.25">
      <c r="A960" t="s">
        <v>78</v>
      </c>
      <c r="B960" s="196">
        <v>4</v>
      </c>
      <c r="C960" s="196">
        <v>2</v>
      </c>
      <c r="D960" s="120">
        <v>4</v>
      </c>
      <c r="E960" s="215">
        <v>21200</v>
      </c>
      <c r="F960" s="94" t="s">
        <v>143</v>
      </c>
      <c r="G960" s="95" t="s">
        <v>141</v>
      </c>
      <c r="H960" s="16">
        <v>4</v>
      </c>
      <c r="I960" s="135">
        <v>7100</v>
      </c>
      <c r="J960" s="17"/>
      <c r="K960" s="17"/>
      <c r="L960" s="419">
        <f t="shared" si="40"/>
        <v>28400</v>
      </c>
      <c r="M960" s="17"/>
      <c r="N960" s="129"/>
    </row>
    <row r="961" spans="1:14" ht="14.25">
      <c r="A961" t="s">
        <v>78</v>
      </c>
      <c r="B961" s="196">
        <v>4</v>
      </c>
      <c r="C961" s="196">
        <v>2</v>
      </c>
      <c r="D961" s="120">
        <v>4</v>
      </c>
      <c r="E961" s="215">
        <v>25200</v>
      </c>
      <c r="F961" s="94" t="s">
        <v>143</v>
      </c>
      <c r="G961" s="87" t="s">
        <v>141</v>
      </c>
      <c r="H961" s="16">
        <v>4</v>
      </c>
      <c r="I961" s="135">
        <v>7150</v>
      </c>
      <c r="J961" s="17"/>
      <c r="K961" s="17"/>
      <c r="L961" s="419">
        <f t="shared" si="40"/>
        <v>28600</v>
      </c>
      <c r="M961" s="17"/>
      <c r="N961" s="129"/>
    </row>
    <row r="962" spans="1:14" ht="14.25">
      <c r="A962" t="s">
        <v>78</v>
      </c>
      <c r="B962" s="196">
        <v>4</v>
      </c>
      <c r="C962" s="196">
        <v>2</v>
      </c>
      <c r="D962" s="120">
        <v>4</v>
      </c>
      <c r="E962" s="215">
        <v>28400</v>
      </c>
      <c r="F962" s="86" t="s">
        <v>142</v>
      </c>
      <c r="G962" s="87" t="s">
        <v>141</v>
      </c>
      <c r="H962" s="16">
        <v>4</v>
      </c>
      <c r="I962" s="135">
        <v>7200</v>
      </c>
      <c r="J962" s="17"/>
      <c r="K962" s="17"/>
      <c r="L962" s="419">
        <f t="shared" si="40"/>
        <v>28800</v>
      </c>
      <c r="M962" s="17"/>
      <c r="N962" s="129"/>
    </row>
    <row r="963" spans="1:14" ht="14.25">
      <c r="A963" t="s">
        <v>78</v>
      </c>
      <c r="B963" s="196">
        <v>4</v>
      </c>
      <c r="C963" s="196">
        <v>2</v>
      </c>
      <c r="D963" s="120">
        <v>4</v>
      </c>
      <c r="E963" s="215">
        <v>28600</v>
      </c>
      <c r="F963" s="94" t="s">
        <v>142</v>
      </c>
      <c r="G963" s="87" t="s">
        <v>141</v>
      </c>
      <c r="H963" s="16">
        <v>4</v>
      </c>
      <c r="I963" s="121">
        <v>7250</v>
      </c>
      <c r="J963" s="17"/>
      <c r="K963" s="17"/>
      <c r="L963" s="419">
        <f t="shared" si="40"/>
        <v>29000</v>
      </c>
      <c r="M963" s="17"/>
      <c r="N963" s="129"/>
    </row>
    <row r="964" spans="1:14" ht="14.25">
      <c r="A964" t="s">
        <v>78</v>
      </c>
      <c r="B964" s="196">
        <v>4</v>
      </c>
      <c r="C964" s="196">
        <v>2</v>
      </c>
      <c r="D964" s="120">
        <v>4</v>
      </c>
      <c r="E964" s="215">
        <v>28800</v>
      </c>
      <c r="F964" s="94" t="s">
        <v>140</v>
      </c>
      <c r="G964" s="87" t="s">
        <v>141</v>
      </c>
      <c r="H964" s="16">
        <v>4</v>
      </c>
      <c r="I964" s="121">
        <v>7300</v>
      </c>
      <c r="J964" s="17"/>
      <c r="K964" s="17"/>
      <c r="L964" s="419">
        <f t="shared" si="40"/>
        <v>29200</v>
      </c>
      <c r="M964" s="17"/>
      <c r="N964" s="129"/>
    </row>
    <row r="965" spans="1:14" ht="14.25">
      <c r="A965" t="s">
        <v>78</v>
      </c>
      <c r="B965" s="196">
        <v>4</v>
      </c>
      <c r="C965" s="196">
        <v>2</v>
      </c>
      <c r="D965" s="120">
        <v>4</v>
      </c>
      <c r="E965" s="197">
        <v>29000</v>
      </c>
      <c r="F965" s="94" t="s">
        <v>140</v>
      </c>
      <c r="G965" s="87" t="s">
        <v>141</v>
      </c>
      <c r="H965" s="16">
        <v>4</v>
      </c>
      <c r="I965" s="121">
        <v>7350</v>
      </c>
      <c r="J965" s="17"/>
      <c r="K965" s="17"/>
      <c r="L965" s="419">
        <f t="shared" si="40"/>
        <v>29400</v>
      </c>
      <c r="M965" s="17"/>
      <c r="N965" s="129"/>
    </row>
    <row r="966" spans="1:14" ht="14.25">
      <c r="A966" t="s">
        <v>78</v>
      </c>
      <c r="B966" s="196">
        <v>4</v>
      </c>
      <c r="C966" s="196">
        <v>2</v>
      </c>
      <c r="D966" s="120">
        <v>4</v>
      </c>
      <c r="E966" s="197">
        <v>29200</v>
      </c>
      <c r="F966" s="94" t="s">
        <v>145</v>
      </c>
      <c r="G966" s="87" t="s">
        <v>141</v>
      </c>
      <c r="H966" s="16">
        <v>4</v>
      </c>
      <c r="I966" s="121">
        <v>7450</v>
      </c>
      <c r="J966" s="17"/>
      <c r="K966" s="17"/>
      <c r="L966" s="419">
        <f t="shared" si="40"/>
        <v>29800</v>
      </c>
      <c r="M966" s="17"/>
      <c r="N966" s="129"/>
    </row>
    <row r="967" spans="1:14" ht="14.25">
      <c r="A967" t="s">
        <v>78</v>
      </c>
      <c r="B967" s="196">
        <v>4</v>
      </c>
      <c r="C967" s="196">
        <v>2</v>
      </c>
      <c r="D967" s="120">
        <v>4</v>
      </c>
      <c r="E967" s="197">
        <v>29400</v>
      </c>
      <c r="F967" s="94" t="s">
        <v>145</v>
      </c>
      <c r="G967" s="87" t="s">
        <v>141</v>
      </c>
      <c r="H967" s="16">
        <v>4</v>
      </c>
      <c r="I967" s="121">
        <v>7000</v>
      </c>
      <c r="J967" s="17"/>
      <c r="K967" s="17"/>
      <c r="L967" s="419">
        <f t="shared" si="40"/>
        <v>28000</v>
      </c>
      <c r="M967" s="17"/>
      <c r="N967" s="129"/>
    </row>
    <row r="968" spans="1:14" ht="14.25">
      <c r="A968" t="s">
        <v>78</v>
      </c>
      <c r="B968" s="196">
        <v>4</v>
      </c>
      <c r="C968" s="196">
        <v>2</v>
      </c>
      <c r="D968" s="120">
        <v>4</v>
      </c>
      <c r="E968" s="197">
        <v>29800</v>
      </c>
      <c r="F968" s="94" t="s">
        <v>144</v>
      </c>
      <c r="G968" s="87" t="s">
        <v>141</v>
      </c>
      <c r="H968" s="16">
        <v>4</v>
      </c>
      <c r="I968" s="121">
        <v>7550</v>
      </c>
      <c r="J968" s="17"/>
      <c r="K968" s="17"/>
      <c r="L968" s="419">
        <f t="shared" si="40"/>
        <v>30200</v>
      </c>
      <c r="M968" s="17"/>
      <c r="N968" s="129"/>
    </row>
    <row r="969" spans="1:14" ht="14.25">
      <c r="A969" t="s">
        <v>78</v>
      </c>
      <c r="B969" s="196">
        <v>4</v>
      </c>
      <c r="C969" s="196">
        <v>2</v>
      </c>
      <c r="D969" s="120">
        <v>4</v>
      </c>
      <c r="E969" s="197">
        <v>28000</v>
      </c>
      <c r="F969" s="94" t="s">
        <v>144</v>
      </c>
      <c r="G969" s="87" t="s">
        <v>141</v>
      </c>
      <c r="H969" s="16">
        <v>4</v>
      </c>
      <c r="I969" s="121">
        <v>7600</v>
      </c>
      <c r="J969" s="17"/>
      <c r="K969" s="17"/>
      <c r="L969" s="419">
        <f t="shared" si="40"/>
        <v>30400</v>
      </c>
      <c r="M969" s="17"/>
      <c r="N969" s="129"/>
    </row>
    <row r="970" spans="1:14" ht="14.25">
      <c r="A970" t="s">
        <v>78</v>
      </c>
      <c r="B970" s="196">
        <v>4</v>
      </c>
      <c r="C970" s="196">
        <v>2</v>
      </c>
      <c r="D970" s="120">
        <v>4</v>
      </c>
      <c r="E970" s="197">
        <v>30200</v>
      </c>
      <c r="F970" s="94" t="s">
        <v>146</v>
      </c>
      <c r="G970" s="87" t="s">
        <v>141</v>
      </c>
      <c r="H970" s="16">
        <v>4</v>
      </c>
      <c r="I970" s="121">
        <v>7450</v>
      </c>
      <c r="J970" s="17"/>
      <c r="K970" s="17"/>
      <c r="L970" s="419">
        <f t="shared" si="40"/>
        <v>29800</v>
      </c>
      <c r="M970" s="17"/>
      <c r="N970" s="129"/>
    </row>
    <row r="971" spans="1:14" ht="14.25">
      <c r="A971" t="s">
        <v>78</v>
      </c>
      <c r="B971" s="196">
        <v>4</v>
      </c>
      <c r="C971" s="196">
        <v>2</v>
      </c>
      <c r="D971" s="120">
        <v>4</v>
      </c>
      <c r="E971" s="197">
        <v>30400</v>
      </c>
      <c r="F971" s="14" t="s">
        <v>1160</v>
      </c>
      <c r="G971" s="87" t="s">
        <v>141</v>
      </c>
      <c r="H971" s="16">
        <v>30</v>
      </c>
      <c r="I971" s="17">
        <v>232</v>
      </c>
      <c r="J971" s="17"/>
      <c r="K971" s="17"/>
      <c r="L971" s="419">
        <f t="shared" si="40"/>
        <v>6960</v>
      </c>
      <c r="M971" s="17"/>
      <c r="N971" s="129"/>
    </row>
    <row r="972" spans="1:14" ht="14.25">
      <c r="A972" t="s">
        <v>78</v>
      </c>
      <c r="B972" s="196">
        <v>4</v>
      </c>
      <c r="C972" s="196">
        <v>2</v>
      </c>
      <c r="D972" s="120">
        <v>4</v>
      </c>
      <c r="E972" s="197">
        <v>29800</v>
      </c>
      <c r="F972" s="14" t="s">
        <v>1177</v>
      </c>
      <c r="G972" s="92" t="s">
        <v>649</v>
      </c>
      <c r="H972" s="16">
        <v>1000</v>
      </c>
      <c r="I972" s="17">
        <v>27.84</v>
      </c>
      <c r="J972" s="17"/>
      <c r="K972" s="17"/>
      <c r="L972" s="419">
        <f t="shared" si="40"/>
        <v>27840</v>
      </c>
      <c r="M972" s="17"/>
      <c r="N972" s="129"/>
    </row>
    <row r="973" spans="1:14" ht="14.25">
      <c r="A973" t="s">
        <v>78</v>
      </c>
      <c r="B973" s="196">
        <v>4</v>
      </c>
      <c r="C973" s="196">
        <v>2</v>
      </c>
      <c r="D973" s="120">
        <v>5</v>
      </c>
      <c r="E973" s="215">
        <v>2500</v>
      </c>
      <c r="F973" s="94" t="s">
        <v>1566</v>
      </c>
      <c r="G973" s="87" t="s">
        <v>141</v>
      </c>
      <c r="H973" s="118">
        <f>100+100</f>
        <v>200</v>
      </c>
      <c r="I973" s="135">
        <v>21.7848</v>
      </c>
      <c r="J973" s="17"/>
      <c r="K973" s="17"/>
      <c r="L973" s="419">
        <f t="shared" si="40"/>
        <v>4356.96</v>
      </c>
      <c r="M973" s="17"/>
      <c r="N973" s="129"/>
    </row>
    <row r="974" spans="1:14" ht="14.25">
      <c r="A974" t="s">
        <v>78</v>
      </c>
      <c r="B974" s="196">
        <v>4</v>
      </c>
      <c r="C974" s="196">
        <v>2</v>
      </c>
      <c r="D974" s="120">
        <v>200</v>
      </c>
      <c r="E974" s="215">
        <v>5568</v>
      </c>
      <c r="F974" s="94" t="s">
        <v>1570</v>
      </c>
      <c r="G974" s="87"/>
      <c r="H974" s="120">
        <f>100+100</f>
        <v>200</v>
      </c>
      <c r="I974" s="649">
        <v>41.412</v>
      </c>
      <c r="J974" s="17"/>
      <c r="K974" s="17"/>
      <c r="L974" s="419">
        <f t="shared" si="40"/>
        <v>8282.4</v>
      </c>
      <c r="M974" s="17"/>
      <c r="N974" s="129"/>
    </row>
    <row r="975" spans="1:14" ht="15">
      <c r="A975" t="s">
        <v>78</v>
      </c>
      <c r="B975" s="196">
        <v>4</v>
      </c>
      <c r="C975" s="196">
        <v>2</v>
      </c>
      <c r="D975" s="120">
        <v>30</v>
      </c>
      <c r="E975" s="215">
        <v>6960</v>
      </c>
      <c r="F975" s="605" t="s">
        <v>1161</v>
      </c>
      <c r="G975" s="92" t="s">
        <v>649</v>
      </c>
      <c r="H975" s="636">
        <v>1040</v>
      </c>
      <c r="I975" s="646">
        <v>80</v>
      </c>
      <c r="J975" s="17"/>
      <c r="K975" s="17"/>
      <c r="L975" s="419">
        <f t="shared" si="40"/>
        <v>83200</v>
      </c>
      <c r="M975" s="17"/>
      <c r="N975" s="129"/>
    </row>
    <row r="976" spans="1:14" ht="14.25">
      <c r="A976" t="s">
        <v>64</v>
      </c>
      <c r="B976" s="196">
        <v>4</v>
      </c>
      <c r="C976" s="196">
        <v>2</v>
      </c>
      <c r="D976" s="133">
        <v>4</v>
      </c>
      <c r="E976" s="231">
        <v>291600</v>
      </c>
      <c r="F976" s="14" t="s">
        <v>674</v>
      </c>
      <c r="G976" s="87"/>
      <c r="H976" s="16"/>
      <c r="I976" s="115"/>
      <c r="J976" s="17"/>
      <c r="K976" s="17"/>
      <c r="L976" s="419"/>
      <c r="M976" s="17"/>
      <c r="N976" s="129"/>
    </row>
    <row r="977" spans="1:14" ht="14.25">
      <c r="A977" t="s">
        <v>78</v>
      </c>
      <c r="B977" s="196">
        <v>4</v>
      </c>
      <c r="C977" s="196">
        <v>2</v>
      </c>
      <c r="D977" s="120">
        <v>1000</v>
      </c>
      <c r="E977" s="215">
        <v>27840</v>
      </c>
      <c r="F977" s="94" t="s">
        <v>233</v>
      </c>
      <c r="G977" s="92" t="s">
        <v>649</v>
      </c>
      <c r="H977" s="16">
        <v>1</v>
      </c>
      <c r="I977" s="114">
        <v>77000</v>
      </c>
      <c r="J977" s="17"/>
      <c r="K977" s="17"/>
      <c r="L977" s="419">
        <f aca="true" t="shared" si="41" ref="L977:L1008">(H977*I977)</f>
        <v>77000</v>
      </c>
      <c r="M977" s="17"/>
      <c r="N977" s="129"/>
    </row>
    <row r="978" spans="1:14" ht="14.25">
      <c r="A978" t="s">
        <v>114</v>
      </c>
      <c r="B978" s="196">
        <v>4</v>
      </c>
      <c r="C978" s="196">
        <v>2</v>
      </c>
      <c r="D978" s="120">
        <v>50</v>
      </c>
      <c r="E978" s="215">
        <v>1044</v>
      </c>
      <c r="F978" s="94" t="s">
        <v>231</v>
      </c>
      <c r="G978" s="87" t="s">
        <v>1610</v>
      </c>
      <c r="H978" s="133">
        <v>1</v>
      </c>
      <c r="I978" s="149">
        <v>18800</v>
      </c>
      <c r="J978" s="17"/>
      <c r="K978" s="17"/>
      <c r="L978" s="419">
        <f t="shared" si="41"/>
        <v>18800</v>
      </c>
      <c r="M978" s="17"/>
      <c r="N978" s="129"/>
    </row>
    <row r="979" spans="1:14" ht="14.25">
      <c r="A979" t="s">
        <v>114</v>
      </c>
      <c r="B979" s="196">
        <v>4</v>
      </c>
      <c r="C979" s="196">
        <v>2</v>
      </c>
      <c r="D979" s="224">
        <v>1</v>
      </c>
      <c r="E979" s="214">
        <v>77000</v>
      </c>
      <c r="F979" s="94" t="s">
        <v>232</v>
      </c>
      <c r="G979" s="87" t="s">
        <v>1610</v>
      </c>
      <c r="H979" s="133">
        <v>1</v>
      </c>
      <c r="I979" s="149">
        <v>44800</v>
      </c>
      <c r="J979" s="17"/>
      <c r="K979" s="17"/>
      <c r="L979" s="419">
        <f t="shared" si="41"/>
        <v>44800</v>
      </c>
      <c r="M979" s="17"/>
      <c r="N979" s="129"/>
    </row>
    <row r="980" spans="1:14" ht="14.25">
      <c r="A980" t="s">
        <v>114</v>
      </c>
      <c r="B980" s="196">
        <v>4</v>
      </c>
      <c r="C980" s="196">
        <v>2</v>
      </c>
      <c r="D980" s="224">
        <v>1</v>
      </c>
      <c r="E980" s="219">
        <v>18800</v>
      </c>
      <c r="F980" s="14" t="s">
        <v>1162</v>
      </c>
      <c r="G980" s="87" t="s">
        <v>1610</v>
      </c>
      <c r="H980" s="16">
        <v>2</v>
      </c>
      <c r="I980" s="143">
        <v>2320</v>
      </c>
      <c r="J980" s="17"/>
      <c r="K980" s="17"/>
      <c r="L980" s="419">
        <f t="shared" si="41"/>
        <v>4640</v>
      </c>
      <c r="M980" s="17"/>
      <c r="N980" s="129"/>
    </row>
    <row r="981" spans="1:14" ht="15">
      <c r="A981" t="s">
        <v>122</v>
      </c>
      <c r="B981" s="196">
        <v>4</v>
      </c>
      <c r="C981" s="196">
        <v>2</v>
      </c>
      <c r="D981" s="224">
        <v>1</v>
      </c>
      <c r="E981" s="219">
        <v>44800</v>
      </c>
      <c r="F981" s="110" t="s">
        <v>1434</v>
      </c>
      <c r="G981" s="92" t="s">
        <v>649</v>
      </c>
      <c r="H981" s="16">
        <v>6</v>
      </c>
      <c r="I981" s="121">
        <v>12000</v>
      </c>
      <c r="J981" s="17"/>
      <c r="K981" s="17"/>
      <c r="L981" s="419">
        <f t="shared" si="41"/>
        <v>72000</v>
      </c>
      <c r="M981" s="17"/>
      <c r="N981" s="129"/>
    </row>
    <row r="982" spans="1:14" ht="14.25">
      <c r="A982" t="s">
        <v>123</v>
      </c>
      <c r="B982" s="196">
        <v>4</v>
      </c>
      <c r="C982" s="196">
        <v>2</v>
      </c>
      <c r="D982" s="120">
        <v>2</v>
      </c>
      <c r="E982" s="197">
        <v>4640</v>
      </c>
      <c r="F982" s="97" t="s">
        <v>1435</v>
      </c>
      <c r="G982" s="92"/>
      <c r="H982" s="16">
        <v>4</v>
      </c>
      <c r="I982" s="121">
        <v>13000</v>
      </c>
      <c r="J982" s="17"/>
      <c r="K982" s="17"/>
      <c r="L982" s="419">
        <f t="shared" si="41"/>
        <v>52000</v>
      </c>
      <c r="M982" s="17"/>
      <c r="N982" s="129"/>
    </row>
    <row r="983" spans="1:14" ht="14.25">
      <c r="A983" t="s">
        <v>123</v>
      </c>
      <c r="B983" s="196">
        <v>4</v>
      </c>
      <c r="C983" s="196">
        <v>2</v>
      </c>
      <c r="D983" s="120">
        <v>6</v>
      </c>
      <c r="E983" s="197">
        <v>72000</v>
      </c>
      <c r="F983" s="97" t="s">
        <v>1436</v>
      </c>
      <c r="G983" s="15"/>
      <c r="H983" s="16">
        <v>4</v>
      </c>
      <c r="I983" s="135">
        <v>14000</v>
      </c>
      <c r="J983" s="17"/>
      <c r="K983" s="17"/>
      <c r="L983" s="419">
        <f t="shared" si="41"/>
        <v>56000</v>
      </c>
      <c r="M983" s="17"/>
      <c r="N983" s="129"/>
    </row>
    <row r="984" spans="1:14" ht="14.25">
      <c r="A984" t="s">
        <v>123</v>
      </c>
      <c r="B984" s="196">
        <v>4</v>
      </c>
      <c r="C984" s="196">
        <v>2</v>
      </c>
      <c r="D984" s="120">
        <v>4</v>
      </c>
      <c r="E984" s="197">
        <v>52000</v>
      </c>
      <c r="F984" s="94" t="s">
        <v>1179</v>
      </c>
      <c r="G984" s="15"/>
      <c r="H984" s="118">
        <v>3</v>
      </c>
      <c r="I984" s="135">
        <v>42340</v>
      </c>
      <c r="J984" s="12"/>
      <c r="K984" s="12"/>
      <c r="L984" s="419">
        <f t="shared" si="41"/>
        <v>127020</v>
      </c>
      <c r="M984" s="17"/>
      <c r="N984" s="129"/>
    </row>
    <row r="985" spans="1:14" ht="14.25">
      <c r="A985" t="s">
        <v>123</v>
      </c>
      <c r="B985" s="196">
        <v>4</v>
      </c>
      <c r="C985" s="196">
        <v>2</v>
      </c>
      <c r="D985" s="120">
        <v>4</v>
      </c>
      <c r="E985" s="215">
        <v>56000</v>
      </c>
      <c r="F985" s="94" t="s">
        <v>520</v>
      </c>
      <c r="G985" s="95" t="s">
        <v>234</v>
      </c>
      <c r="H985" s="16">
        <v>8</v>
      </c>
      <c r="I985" s="135">
        <v>16000</v>
      </c>
      <c r="J985" s="12"/>
      <c r="K985" s="12"/>
      <c r="L985" s="419">
        <f t="shared" si="41"/>
        <v>128000</v>
      </c>
      <c r="M985" s="17"/>
      <c r="N985" s="129"/>
    </row>
    <row r="986" spans="1:14" ht="14.25">
      <c r="A986" t="s">
        <v>123</v>
      </c>
      <c r="B986" s="196">
        <v>4</v>
      </c>
      <c r="C986" s="196">
        <v>2</v>
      </c>
      <c r="D986" s="120">
        <v>3</v>
      </c>
      <c r="E986" s="215">
        <v>127020</v>
      </c>
      <c r="F986" s="94" t="s">
        <v>522</v>
      </c>
      <c r="G986" s="87" t="s">
        <v>234</v>
      </c>
      <c r="H986" s="16">
        <v>5</v>
      </c>
      <c r="I986" s="135">
        <v>17000</v>
      </c>
      <c r="J986" s="12"/>
      <c r="K986" s="12"/>
      <c r="L986" s="419">
        <f t="shared" si="41"/>
        <v>85000</v>
      </c>
      <c r="M986" s="17"/>
      <c r="N986" s="129"/>
    </row>
    <row r="987" spans="1:14" ht="14.25">
      <c r="A987" t="s">
        <v>123</v>
      </c>
      <c r="B987" s="196">
        <v>4</v>
      </c>
      <c r="C987" s="196">
        <v>2</v>
      </c>
      <c r="D987" s="120">
        <v>8</v>
      </c>
      <c r="E987" s="215">
        <v>128000</v>
      </c>
      <c r="F987" s="94" t="s">
        <v>521</v>
      </c>
      <c r="G987" s="87" t="s">
        <v>234</v>
      </c>
      <c r="H987" s="16">
        <v>8</v>
      </c>
      <c r="I987" s="135">
        <v>18000</v>
      </c>
      <c r="J987" s="12"/>
      <c r="K987" s="12"/>
      <c r="L987" s="419">
        <f t="shared" si="41"/>
        <v>144000</v>
      </c>
      <c r="M987" s="17"/>
      <c r="N987" s="129"/>
    </row>
    <row r="988" spans="1:14" ht="14.25">
      <c r="A988" t="s">
        <v>123</v>
      </c>
      <c r="B988" s="196">
        <v>4</v>
      </c>
      <c r="C988" s="196">
        <v>2</v>
      </c>
      <c r="D988" s="120">
        <v>5</v>
      </c>
      <c r="E988" s="215">
        <v>85000</v>
      </c>
      <c r="F988" s="94" t="s">
        <v>1394</v>
      </c>
      <c r="G988" s="87" t="s">
        <v>234</v>
      </c>
      <c r="H988" s="16">
        <v>2</v>
      </c>
      <c r="I988" s="17">
        <v>68440</v>
      </c>
      <c r="J988" s="17"/>
      <c r="K988" s="17"/>
      <c r="L988" s="419">
        <f t="shared" si="41"/>
        <v>136880</v>
      </c>
      <c r="M988" s="17"/>
      <c r="N988" s="129"/>
    </row>
    <row r="989" spans="1:14" ht="14.25">
      <c r="A989" t="s">
        <v>123</v>
      </c>
      <c r="B989" s="196">
        <v>4</v>
      </c>
      <c r="C989" s="196">
        <v>2</v>
      </c>
      <c r="D989" s="120">
        <v>8</v>
      </c>
      <c r="E989" s="215">
        <v>144000</v>
      </c>
      <c r="F989" s="94" t="s">
        <v>1395</v>
      </c>
      <c r="G989" s="92" t="s">
        <v>649</v>
      </c>
      <c r="H989" s="16">
        <v>2</v>
      </c>
      <c r="I989" s="17">
        <v>76280</v>
      </c>
      <c r="J989" s="17"/>
      <c r="K989" s="17"/>
      <c r="L989" s="419">
        <f t="shared" si="41"/>
        <v>152560</v>
      </c>
      <c r="M989" s="17"/>
      <c r="N989" s="129"/>
    </row>
    <row r="990" spans="1:14" ht="14.25">
      <c r="A990" t="s">
        <v>123</v>
      </c>
      <c r="B990" s="196">
        <v>4</v>
      </c>
      <c r="C990" s="196">
        <v>2</v>
      </c>
      <c r="D990" s="120">
        <v>2</v>
      </c>
      <c r="E990" s="215">
        <v>136880</v>
      </c>
      <c r="F990" s="612" t="s">
        <v>1393</v>
      </c>
      <c r="G990" s="92" t="s">
        <v>649</v>
      </c>
      <c r="H990" s="16">
        <v>5</v>
      </c>
      <c r="I990" s="137">
        <v>6500</v>
      </c>
      <c r="J990" s="28"/>
      <c r="K990" s="28"/>
      <c r="L990" s="28">
        <f t="shared" si="41"/>
        <v>32500</v>
      </c>
      <c r="M990" s="17"/>
      <c r="N990" s="129"/>
    </row>
    <row r="991" spans="1:14" ht="14.25">
      <c r="A991" t="s">
        <v>123</v>
      </c>
      <c r="B991" s="196">
        <v>4</v>
      </c>
      <c r="C991" s="196">
        <v>2</v>
      </c>
      <c r="D991" s="120">
        <v>2</v>
      </c>
      <c r="E991" s="215">
        <v>152560</v>
      </c>
      <c r="F991" s="96" t="s">
        <v>523</v>
      </c>
      <c r="G991" s="99" t="s">
        <v>1402</v>
      </c>
      <c r="H991" s="16">
        <v>5</v>
      </c>
      <c r="I991" s="137">
        <v>6700</v>
      </c>
      <c r="J991" s="141"/>
      <c r="K991" s="141"/>
      <c r="L991" s="28">
        <f t="shared" si="41"/>
        <v>33500</v>
      </c>
      <c r="M991" s="17"/>
      <c r="N991" s="129"/>
    </row>
    <row r="992" spans="1:14" ht="14.25">
      <c r="A992" t="s">
        <v>123</v>
      </c>
      <c r="B992" s="196">
        <v>4</v>
      </c>
      <c r="C992" s="196">
        <v>2</v>
      </c>
      <c r="D992" s="229">
        <v>5</v>
      </c>
      <c r="E992" s="230">
        <v>32500</v>
      </c>
      <c r="F992" s="94" t="s">
        <v>524</v>
      </c>
      <c r="G992" s="99" t="s">
        <v>234</v>
      </c>
      <c r="H992" s="16">
        <v>5</v>
      </c>
      <c r="I992" s="138">
        <v>6800</v>
      </c>
      <c r="J992" s="12"/>
      <c r="K992" s="12"/>
      <c r="L992" s="419">
        <f t="shared" si="41"/>
        <v>34000</v>
      </c>
      <c r="M992" s="17"/>
      <c r="N992" s="28"/>
    </row>
    <row r="993" spans="1:14" ht="14.25">
      <c r="A993" t="s">
        <v>123</v>
      </c>
      <c r="B993" s="196">
        <v>4</v>
      </c>
      <c r="C993" s="196">
        <v>2</v>
      </c>
      <c r="D993" s="229">
        <v>5</v>
      </c>
      <c r="E993" s="230">
        <v>33500</v>
      </c>
      <c r="F993" s="94" t="s">
        <v>525</v>
      </c>
      <c r="G993" s="87" t="s">
        <v>234</v>
      </c>
      <c r="H993" s="16">
        <v>5</v>
      </c>
      <c r="I993" s="135">
        <v>6900</v>
      </c>
      <c r="J993" s="12"/>
      <c r="K993" s="12"/>
      <c r="L993" s="419">
        <f t="shared" si="41"/>
        <v>34500</v>
      </c>
      <c r="M993" s="17"/>
      <c r="N993" s="28"/>
    </row>
    <row r="994" spans="1:14" ht="14.25">
      <c r="A994" t="s">
        <v>123</v>
      </c>
      <c r="B994" s="196">
        <v>4</v>
      </c>
      <c r="C994" s="196">
        <v>2</v>
      </c>
      <c r="D994" s="118">
        <v>5</v>
      </c>
      <c r="E994" s="227">
        <v>34000</v>
      </c>
      <c r="F994" s="97" t="s">
        <v>1397</v>
      </c>
      <c r="G994" s="87" t="s">
        <v>234</v>
      </c>
      <c r="H994" s="16">
        <v>5</v>
      </c>
      <c r="I994" s="135">
        <v>7000</v>
      </c>
      <c r="J994" s="17"/>
      <c r="K994" s="17"/>
      <c r="L994" s="419">
        <f t="shared" si="41"/>
        <v>35000</v>
      </c>
      <c r="M994" s="17"/>
      <c r="N994" s="129"/>
    </row>
    <row r="995" spans="1:14" ht="14.25">
      <c r="A995" t="s">
        <v>123</v>
      </c>
      <c r="B995" s="196">
        <v>4</v>
      </c>
      <c r="C995" s="196">
        <v>2</v>
      </c>
      <c r="D995" s="120">
        <v>5</v>
      </c>
      <c r="E995" s="215">
        <v>34500</v>
      </c>
      <c r="F995" s="97" t="s">
        <v>1398</v>
      </c>
      <c r="G995" s="92" t="s">
        <v>649</v>
      </c>
      <c r="H995" s="16">
        <v>5</v>
      </c>
      <c r="I995" s="135">
        <v>7100</v>
      </c>
      <c r="J995" s="17"/>
      <c r="K995" s="17"/>
      <c r="L995" s="419">
        <f t="shared" si="41"/>
        <v>35500</v>
      </c>
      <c r="M995" s="17"/>
      <c r="N995" s="129"/>
    </row>
    <row r="996" spans="1:14" ht="14.25">
      <c r="A996" t="s">
        <v>123</v>
      </c>
      <c r="B996" s="196">
        <v>4</v>
      </c>
      <c r="C996" s="196">
        <v>2</v>
      </c>
      <c r="D996" s="120">
        <v>5</v>
      </c>
      <c r="E996" s="215">
        <v>35000</v>
      </c>
      <c r="F996" s="97" t="s">
        <v>1398</v>
      </c>
      <c r="G996" s="92" t="s">
        <v>649</v>
      </c>
      <c r="H996" s="16">
        <v>5</v>
      </c>
      <c r="I996" s="135">
        <v>7200</v>
      </c>
      <c r="J996" s="17"/>
      <c r="K996" s="17"/>
      <c r="L996" s="419">
        <f t="shared" si="41"/>
        <v>36000</v>
      </c>
      <c r="M996" s="17"/>
      <c r="N996" s="129"/>
    </row>
    <row r="997" spans="1:14" ht="14.25">
      <c r="A997" t="s">
        <v>123</v>
      </c>
      <c r="B997" s="196">
        <v>4</v>
      </c>
      <c r="C997" s="196">
        <v>2</v>
      </c>
      <c r="D997" s="120">
        <v>5</v>
      </c>
      <c r="E997" s="215">
        <v>35500</v>
      </c>
      <c r="F997" s="97" t="s">
        <v>1396</v>
      </c>
      <c r="G997" s="92" t="s">
        <v>649</v>
      </c>
      <c r="H997" s="16">
        <v>5</v>
      </c>
      <c r="I997" s="135">
        <v>7300</v>
      </c>
      <c r="J997" s="17"/>
      <c r="K997" s="17"/>
      <c r="L997" s="419">
        <f t="shared" si="41"/>
        <v>36500</v>
      </c>
      <c r="M997" s="17"/>
      <c r="N997" s="129"/>
    </row>
    <row r="998" spans="1:14" ht="14.25">
      <c r="A998" t="s">
        <v>123</v>
      </c>
      <c r="B998" s="196">
        <v>4</v>
      </c>
      <c r="C998" s="196">
        <v>2</v>
      </c>
      <c r="D998" s="120">
        <v>5</v>
      </c>
      <c r="E998" s="215">
        <v>36000</v>
      </c>
      <c r="F998" s="97" t="s">
        <v>1400</v>
      </c>
      <c r="G998" s="92" t="s">
        <v>649</v>
      </c>
      <c r="H998" s="16">
        <v>5</v>
      </c>
      <c r="I998" s="135">
        <v>7400</v>
      </c>
      <c r="J998" s="17"/>
      <c r="K998" s="17"/>
      <c r="L998" s="419">
        <f t="shared" si="41"/>
        <v>37000</v>
      </c>
      <c r="M998" s="17"/>
      <c r="N998" s="129"/>
    </row>
    <row r="999" spans="1:14" ht="14.25">
      <c r="A999" t="s">
        <v>123</v>
      </c>
      <c r="B999" s="196">
        <v>4</v>
      </c>
      <c r="C999" s="196">
        <v>2</v>
      </c>
      <c r="D999" s="120">
        <v>5</v>
      </c>
      <c r="E999" s="215">
        <v>36500</v>
      </c>
      <c r="F999" s="97" t="s">
        <v>1399</v>
      </c>
      <c r="G999" s="92" t="s">
        <v>649</v>
      </c>
      <c r="H999" s="16">
        <v>5</v>
      </c>
      <c r="I999" s="135">
        <v>7500</v>
      </c>
      <c r="J999" s="17"/>
      <c r="K999" s="17"/>
      <c r="L999" s="419">
        <f t="shared" si="41"/>
        <v>37500</v>
      </c>
      <c r="M999" s="17"/>
      <c r="N999" s="129"/>
    </row>
    <row r="1000" spans="1:14" ht="14.25">
      <c r="A1000" t="s">
        <v>123</v>
      </c>
      <c r="B1000" s="196">
        <v>4</v>
      </c>
      <c r="C1000" s="196">
        <v>2</v>
      </c>
      <c r="D1000" s="120">
        <v>5</v>
      </c>
      <c r="E1000" s="215">
        <v>37000</v>
      </c>
      <c r="F1000" s="97" t="s">
        <v>1399</v>
      </c>
      <c r="G1000" s="92" t="s">
        <v>649</v>
      </c>
      <c r="H1000" s="16">
        <v>5</v>
      </c>
      <c r="I1000" s="135">
        <v>7600</v>
      </c>
      <c r="J1000" s="17"/>
      <c r="K1000" s="17"/>
      <c r="L1000" s="419">
        <f t="shared" si="41"/>
        <v>38000</v>
      </c>
      <c r="M1000" s="17"/>
      <c r="N1000" s="129"/>
    </row>
    <row r="1001" spans="1:14" ht="14.25">
      <c r="A1001" t="s">
        <v>123</v>
      </c>
      <c r="B1001" s="196">
        <v>4</v>
      </c>
      <c r="C1001" s="196">
        <v>2</v>
      </c>
      <c r="D1001" s="120">
        <v>5</v>
      </c>
      <c r="E1001" s="215">
        <v>37500</v>
      </c>
      <c r="F1001" s="97" t="s">
        <v>1401</v>
      </c>
      <c r="G1001" s="92" t="s">
        <v>649</v>
      </c>
      <c r="H1001" s="16">
        <v>5</v>
      </c>
      <c r="I1001" s="135">
        <v>7800</v>
      </c>
      <c r="J1001" s="17"/>
      <c r="K1001" s="17"/>
      <c r="L1001" s="419">
        <f t="shared" si="41"/>
        <v>39000</v>
      </c>
      <c r="M1001" s="17"/>
      <c r="N1001" s="129"/>
    </row>
    <row r="1002" spans="1:14" ht="14.25">
      <c r="A1002" t="s">
        <v>123</v>
      </c>
      <c r="B1002" s="196">
        <v>4</v>
      </c>
      <c r="C1002" s="196">
        <v>2</v>
      </c>
      <c r="D1002" s="120">
        <v>5</v>
      </c>
      <c r="E1002" s="215">
        <v>38000</v>
      </c>
      <c r="F1002" s="14" t="s">
        <v>1163</v>
      </c>
      <c r="G1002" s="92" t="s">
        <v>649</v>
      </c>
      <c r="H1002" s="16">
        <v>10</v>
      </c>
      <c r="I1002" s="17">
        <v>4459.04</v>
      </c>
      <c r="J1002" s="17"/>
      <c r="K1002" s="17"/>
      <c r="L1002" s="419">
        <f t="shared" si="41"/>
        <v>44590.4</v>
      </c>
      <c r="M1002" s="17"/>
      <c r="N1002" s="129"/>
    </row>
    <row r="1003" spans="1:14" ht="14.25">
      <c r="A1003" t="s">
        <v>123</v>
      </c>
      <c r="B1003" s="196">
        <v>4</v>
      </c>
      <c r="C1003" s="196">
        <v>2</v>
      </c>
      <c r="D1003" s="120">
        <v>5</v>
      </c>
      <c r="E1003" s="215">
        <v>39000</v>
      </c>
      <c r="F1003" s="14" t="s">
        <v>1164</v>
      </c>
      <c r="G1003" s="92" t="s">
        <v>649</v>
      </c>
      <c r="H1003" s="16">
        <v>10</v>
      </c>
      <c r="I1003" s="17">
        <v>3428.96</v>
      </c>
      <c r="J1003" s="17"/>
      <c r="K1003" s="17"/>
      <c r="L1003" s="419">
        <f t="shared" si="41"/>
        <v>34289.6</v>
      </c>
      <c r="M1003" s="17"/>
      <c r="N1003" s="129"/>
    </row>
    <row r="1004" spans="1:14" ht="14.25">
      <c r="A1004" t="s">
        <v>123</v>
      </c>
      <c r="B1004" s="196">
        <v>4</v>
      </c>
      <c r="C1004" s="196">
        <v>2</v>
      </c>
      <c r="D1004" s="120">
        <v>10</v>
      </c>
      <c r="E1004" s="215">
        <v>44590.4</v>
      </c>
      <c r="F1004" s="14" t="s">
        <v>1165</v>
      </c>
      <c r="G1004" s="15" t="s">
        <v>649</v>
      </c>
      <c r="H1004" s="16">
        <v>10</v>
      </c>
      <c r="I1004" s="17">
        <v>3428.96</v>
      </c>
      <c r="J1004" s="17"/>
      <c r="K1004" s="17"/>
      <c r="L1004" s="419">
        <f t="shared" si="41"/>
        <v>34289.6</v>
      </c>
      <c r="M1004" s="17"/>
      <c r="N1004" s="129"/>
    </row>
    <row r="1005" spans="1:14" ht="14.25">
      <c r="A1005" t="s">
        <v>123</v>
      </c>
      <c r="B1005" s="196">
        <v>4</v>
      </c>
      <c r="C1005" s="196">
        <v>2</v>
      </c>
      <c r="D1005" s="120">
        <v>10</v>
      </c>
      <c r="E1005" s="215">
        <v>34289.6</v>
      </c>
      <c r="F1005" s="94" t="s">
        <v>476</v>
      </c>
      <c r="G1005" s="92" t="s">
        <v>649</v>
      </c>
      <c r="H1005" s="16">
        <v>20</v>
      </c>
      <c r="I1005" s="123">
        <v>1136.5</v>
      </c>
      <c r="J1005" s="12"/>
      <c r="K1005" s="12"/>
      <c r="L1005" s="419">
        <f t="shared" si="41"/>
        <v>22730</v>
      </c>
      <c r="M1005" s="17"/>
      <c r="N1005" s="129"/>
    </row>
    <row r="1006" spans="1:14" ht="14.25">
      <c r="A1006" s="404" t="s">
        <v>83</v>
      </c>
      <c r="B1006" s="196">
        <v>4</v>
      </c>
      <c r="C1006" s="196">
        <v>2</v>
      </c>
      <c r="D1006" s="120">
        <v>10</v>
      </c>
      <c r="E1006" s="215">
        <v>34289.6</v>
      </c>
      <c r="F1006" s="94" t="s">
        <v>477</v>
      </c>
      <c r="G1006" s="87" t="s">
        <v>1610</v>
      </c>
      <c r="H1006" s="16">
        <v>20</v>
      </c>
      <c r="I1006" s="123">
        <v>452.4</v>
      </c>
      <c r="J1006" s="12"/>
      <c r="K1006" s="12"/>
      <c r="L1006" s="419">
        <f t="shared" si="41"/>
        <v>9048</v>
      </c>
      <c r="M1006" s="17"/>
      <c r="N1006" s="129"/>
    </row>
    <row r="1007" spans="1:14" ht="14.25">
      <c r="A1007" s="404" t="s">
        <v>83</v>
      </c>
      <c r="B1007" s="196">
        <v>4</v>
      </c>
      <c r="C1007" s="196">
        <v>2</v>
      </c>
      <c r="D1007" s="120">
        <v>20</v>
      </c>
      <c r="E1007" s="215">
        <v>22730</v>
      </c>
      <c r="F1007" s="94" t="s">
        <v>527</v>
      </c>
      <c r="G1007" s="87" t="s">
        <v>1610</v>
      </c>
      <c r="H1007" s="16">
        <v>50</v>
      </c>
      <c r="I1007" s="123">
        <v>290</v>
      </c>
      <c r="J1007" s="12"/>
      <c r="K1007" s="12"/>
      <c r="L1007" s="419">
        <f t="shared" si="41"/>
        <v>14500</v>
      </c>
      <c r="M1007" s="17"/>
      <c r="N1007" s="129"/>
    </row>
    <row r="1008" spans="1:14" ht="14.25">
      <c r="A1008" s="404" t="s">
        <v>83</v>
      </c>
      <c r="B1008" s="196">
        <v>4</v>
      </c>
      <c r="C1008" s="196">
        <v>2</v>
      </c>
      <c r="D1008" s="120">
        <v>20</v>
      </c>
      <c r="E1008" s="215">
        <v>9048</v>
      </c>
      <c r="F1008" s="94" t="s">
        <v>526</v>
      </c>
      <c r="G1008" s="87" t="s">
        <v>1610</v>
      </c>
      <c r="H1008" s="16">
        <v>20</v>
      </c>
      <c r="I1008" s="123">
        <v>146.16</v>
      </c>
      <c r="J1008" s="12"/>
      <c r="K1008" s="12"/>
      <c r="L1008" s="419">
        <f t="shared" si="41"/>
        <v>2923.2</v>
      </c>
      <c r="M1008" s="17"/>
      <c r="N1008" s="129"/>
    </row>
    <row r="1009" spans="1:14" ht="14.25">
      <c r="A1009" s="404" t="s">
        <v>83</v>
      </c>
      <c r="B1009" s="196">
        <v>4</v>
      </c>
      <c r="C1009" s="196">
        <v>2</v>
      </c>
      <c r="D1009" s="120">
        <v>50</v>
      </c>
      <c r="E1009" s="215">
        <v>14500</v>
      </c>
      <c r="F1009" s="94" t="s">
        <v>478</v>
      </c>
      <c r="G1009" s="87" t="s">
        <v>1610</v>
      </c>
      <c r="H1009" s="16">
        <v>10</v>
      </c>
      <c r="I1009" s="153">
        <v>410</v>
      </c>
      <c r="J1009" s="12"/>
      <c r="K1009" s="12"/>
      <c r="L1009" s="419">
        <f aca="true" t="shared" si="42" ref="L1009:L1034">(H1009*I1009)</f>
        <v>4100</v>
      </c>
      <c r="M1009" s="17"/>
      <c r="N1009" s="129"/>
    </row>
    <row r="1010" spans="1:14" ht="15">
      <c r="A1010" s="404" t="s">
        <v>83</v>
      </c>
      <c r="B1010" s="196"/>
      <c r="C1010" s="196"/>
      <c r="D1010" s="120"/>
      <c r="E1010" s="215"/>
      <c r="F1010" s="613" t="s">
        <v>958</v>
      </c>
      <c r="G1010" s="87" t="s">
        <v>1610</v>
      </c>
      <c r="H1010" s="559">
        <v>50</v>
      </c>
      <c r="I1010" s="560">
        <v>4590</v>
      </c>
      <c r="J1010" s="12"/>
      <c r="K1010" s="12"/>
      <c r="L1010" s="419">
        <f t="shared" si="42"/>
        <v>229500</v>
      </c>
      <c r="M1010" s="17"/>
      <c r="N1010" s="129"/>
    </row>
    <row r="1011" spans="1:14" ht="14.25">
      <c r="A1011" s="404" t="s">
        <v>83</v>
      </c>
      <c r="B1011" s="196"/>
      <c r="C1011" s="196"/>
      <c r="D1011" s="120"/>
      <c r="E1011" s="203"/>
      <c r="F1011" s="558" t="s">
        <v>957</v>
      </c>
      <c r="G1011" s="87" t="s">
        <v>1610</v>
      </c>
      <c r="H1011" s="563">
        <v>10</v>
      </c>
      <c r="I1011" s="576">
        <v>450</v>
      </c>
      <c r="J1011" s="12"/>
      <c r="K1011" s="12"/>
      <c r="L1011" s="419">
        <f t="shared" si="42"/>
        <v>4500</v>
      </c>
      <c r="M1011" s="17"/>
      <c r="N1011" s="129"/>
    </row>
    <row r="1012" spans="1:14" ht="14.25">
      <c r="A1012" s="404" t="s">
        <v>83</v>
      </c>
      <c r="B1012" s="196">
        <v>4</v>
      </c>
      <c r="C1012" s="196">
        <v>2</v>
      </c>
      <c r="D1012" s="120">
        <v>20</v>
      </c>
      <c r="E1012" s="203">
        <v>2923.2</v>
      </c>
      <c r="F1012" s="260" t="s">
        <v>535</v>
      </c>
      <c r="G1012" s="87" t="s">
        <v>1610</v>
      </c>
      <c r="H1012" s="16">
        <v>10</v>
      </c>
      <c r="I1012" s="153">
        <v>420</v>
      </c>
      <c r="J1012" s="12"/>
      <c r="K1012" s="12"/>
      <c r="L1012" s="419">
        <f t="shared" si="42"/>
        <v>4200</v>
      </c>
      <c r="M1012" s="17"/>
      <c r="N1012" s="129"/>
    </row>
    <row r="1013" spans="1:14" ht="15">
      <c r="A1013" s="404" t="s">
        <v>83</v>
      </c>
      <c r="B1013" s="196">
        <v>4</v>
      </c>
      <c r="C1013" s="196">
        <v>2</v>
      </c>
      <c r="D1013" s="120">
        <v>10</v>
      </c>
      <c r="E1013" s="197">
        <v>4100</v>
      </c>
      <c r="F1013" s="94" t="s">
        <v>536</v>
      </c>
      <c r="G1013" s="95" t="s">
        <v>1610</v>
      </c>
      <c r="H1013" s="637">
        <v>90</v>
      </c>
      <c r="I1013" s="648">
        <v>2500</v>
      </c>
      <c r="J1013" s="12"/>
      <c r="K1013" s="12"/>
      <c r="L1013" s="419">
        <f t="shared" si="42"/>
        <v>225000</v>
      </c>
      <c r="M1013" s="17"/>
      <c r="N1013" s="129"/>
    </row>
    <row r="1014" spans="1:14" ht="14.25">
      <c r="A1014" t="s">
        <v>124</v>
      </c>
      <c r="B1014" s="196">
        <v>4</v>
      </c>
      <c r="C1014" s="196">
        <v>2</v>
      </c>
      <c r="D1014" s="120">
        <v>10</v>
      </c>
      <c r="E1014" s="197">
        <v>4500</v>
      </c>
      <c r="F1014" s="94" t="s">
        <v>1549</v>
      </c>
      <c r="G1014" s="95"/>
      <c r="H1014" s="133">
        <v>15</v>
      </c>
      <c r="I1014" s="153">
        <v>4640</v>
      </c>
      <c r="J1014" s="12"/>
      <c r="K1014" s="12"/>
      <c r="L1014" s="419">
        <f t="shared" si="42"/>
        <v>69600</v>
      </c>
      <c r="M1014" s="17"/>
      <c r="N1014" s="129"/>
    </row>
    <row r="1015" spans="1:14" ht="14.25">
      <c r="A1015" s="404" t="s">
        <v>83</v>
      </c>
      <c r="B1015" s="196">
        <v>4</v>
      </c>
      <c r="C1015" s="196">
        <v>2</v>
      </c>
      <c r="D1015" s="120">
        <v>10</v>
      </c>
      <c r="E1015" s="197">
        <v>4200</v>
      </c>
      <c r="F1015" s="94" t="s">
        <v>1548</v>
      </c>
      <c r="G1015" s="95" t="s">
        <v>1610</v>
      </c>
      <c r="H1015" s="133">
        <v>10</v>
      </c>
      <c r="I1015" s="153">
        <v>6270.4</v>
      </c>
      <c r="J1015" s="12"/>
      <c r="K1015" s="12"/>
      <c r="L1015" s="419">
        <f t="shared" si="42"/>
        <v>62704</v>
      </c>
      <c r="M1015" s="17"/>
      <c r="N1015" s="129"/>
    </row>
    <row r="1016" spans="1:14" ht="14.25">
      <c r="A1016" t="s">
        <v>124</v>
      </c>
      <c r="B1016" s="196">
        <v>4</v>
      </c>
      <c r="C1016" s="196">
        <v>2</v>
      </c>
      <c r="D1016" s="120">
        <v>10</v>
      </c>
      <c r="E1016" s="197">
        <v>62704</v>
      </c>
      <c r="F1016" s="94" t="s">
        <v>1564</v>
      </c>
      <c r="G1016" s="95"/>
      <c r="H1016" s="133">
        <v>20</v>
      </c>
      <c r="I1016" s="153">
        <v>1740</v>
      </c>
      <c r="J1016" s="12"/>
      <c r="K1016" s="12"/>
      <c r="L1016" s="419">
        <f t="shared" si="42"/>
        <v>34800</v>
      </c>
      <c r="M1016" s="17"/>
      <c r="N1016" s="129"/>
    </row>
    <row r="1017" spans="1:14" ht="14.25">
      <c r="A1017" t="s">
        <v>124</v>
      </c>
      <c r="B1017" s="196">
        <v>4</v>
      </c>
      <c r="C1017" s="196">
        <v>2</v>
      </c>
      <c r="D1017" s="120">
        <v>15</v>
      </c>
      <c r="E1017" s="197">
        <v>69600</v>
      </c>
      <c r="F1017" s="94" t="s">
        <v>196</v>
      </c>
      <c r="G1017" s="95"/>
      <c r="H1017" s="16">
        <v>10</v>
      </c>
      <c r="I1017" s="114">
        <v>9700</v>
      </c>
      <c r="J1017" s="17"/>
      <c r="K1017" s="17"/>
      <c r="L1017" s="419">
        <f t="shared" si="42"/>
        <v>97000</v>
      </c>
      <c r="M1017" s="17"/>
      <c r="N1017" s="129"/>
    </row>
    <row r="1018" spans="1:14" ht="14.25">
      <c r="A1018" t="s">
        <v>125</v>
      </c>
      <c r="B1018" s="196">
        <v>4</v>
      </c>
      <c r="C1018" s="196">
        <v>2</v>
      </c>
      <c r="D1018" s="120">
        <v>20</v>
      </c>
      <c r="E1018" s="197">
        <v>34800</v>
      </c>
      <c r="F1018" s="94" t="s">
        <v>185</v>
      </c>
      <c r="G1018" s="95" t="s">
        <v>1610</v>
      </c>
      <c r="H1018" s="16">
        <v>10</v>
      </c>
      <c r="I1018" s="114">
        <v>9700</v>
      </c>
      <c r="J1018" s="17"/>
      <c r="K1018" s="17"/>
      <c r="L1018" s="419">
        <f t="shared" si="42"/>
        <v>97000</v>
      </c>
      <c r="M1018" s="17"/>
      <c r="N1018" s="129"/>
    </row>
    <row r="1019" spans="1:14" ht="14.25">
      <c r="A1019" t="s">
        <v>125</v>
      </c>
      <c r="B1019" s="196">
        <v>4</v>
      </c>
      <c r="C1019" s="196">
        <v>2</v>
      </c>
      <c r="D1019" s="120">
        <v>10</v>
      </c>
      <c r="E1019" s="215">
        <v>97000</v>
      </c>
      <c r="F1019" s="94" t="s">
        <v>197</v>
      </c>
      <c r="G1019" s="95" t="s">
        <v>1610</v>
      </c>
      <c r="H1019" s="16">
        <v>10</v>
      </c>
      <c r="I1019" s="17">
        <v>10000</v>
      </c>
      <c r="J1019" s="17"/>
      <c r="K1019" s="17"/>
      <c r="L1019" s="419">
        <f t="shared" si="42"/>
        <v>100000</v>
      </c>
      <c r="M1019" s="17"/>
      <c r="N1019" s="129"/>
    </row>
    <row r="1020" spans="1:14" ht="14.25">
      <c r="A1020" t="s">
        <v>125</v>
      </c>
      <c r="B1020" s="196">
        <v>4</v>
      </c>
      <c r="C1020" s="196">
        <v>2</v>
      </c>
      <c r="D1020" s="120">
        <v>10</v>
      </c>
      <c r="E1020" s="215">
        <v>97000</v>
      </c>
      <c r="F1020" s="94" t="s">
        <v>603</v>
      </c>
      <c r="G1020" s="111" t="s">
        <v>1610</v>
      </c>
      <c r="H1020" s="11">
        <v>10</v>
      </c>
      <c r="I1020" s="17">
        <v>10000</v>
      </c>
      <c r="J1020" s="12"/>
      <c r="K1020" s="12"/>
      <c r="L1020" s="419">
        <f t="shared" si="42"/>
        <v>100000</v>
      </c>
      <c r="M1020" s="17"/>
      <c r="N1020" s="129"/>
    </row>
    <row r="1021" spans="1:14" ht="14.25">
      <c r="A1021" t="s">
        <v>125</v>
      </c>
      <c r="B1021" s="196">
        <v>4</v>
      </c>
      <c r="C1021" s="196">
        <v>2</v>
      </c>
      <c r="D1021" s="120">
        <v>10</v>
      </c>
      <c r="E1021" s="215">
        <v>100000</v>
      </c>
      <c r="F1021" s="94" t="s">
        <v>208</v>
      </c>
      <c r="G1021" s="95" t="s">
        <v>1610</v>
      </c>
      <c r="H1021" s="16">
        <v>10</v>
      </c>
      <c r="I1021" s="116">
        <v>9000</v>
      </c>
      <c r="J1021" s="17"/>
      <c r="K1021" s="17"/>
      <c r="L1021" s="419">
        <f t="shared" si="42"/>
        <v>90000</v>
      </c>
      <c r="M1021" s="17"/>
      <c r="N1021" s="129"/>
    </row>
    <row r="1022" spans="1:14" ht="14.25">
      <c r="A1022" t="s">
        <v>126</v>
      </c>
      <c r="B1022" s="196">
        <v>4</v>
      </c>
      <c r="C1022" s="196">
        <v>2</v>
      </c>
      <c r="D1022" s="120">
        <v>10</v>
      </c>
      <c r="E1022" s="215">
        <v>100000</v>
      </c>
      <c r="F1022" s="94" t="s">
        <v>210</v>
      </c>
      <c r="G1022" s="95" t="s">
        <v>1543</v>
      </c>
      <c r="H1022" s="16">
        <v>10</v>
      </c>
      <c r="I1022" s="116">
        <v>9500</v>
      </c>
      <c r="J1022" s="17"/>
      <c r="K1022" s="17"/>
      <c r="L1022" s="419">
        <f t="shared" si="42"/>
        <v>95000</v>
      </c>
      <c r="M1022" s="17"/>
      <c r="N1022" s="129"/>
    </row>
    <row r="1023" spans="1:14" ht="14.25">
      <c r="A1023" t="s">
        <v>126</v>
      </c>
      <c r="B1023" s="196">
        <v>4</v>
      </c>
      <c r="C1023" s="196">
        <v>2</v>
      </c>
      <c r="D1023" s="118">
        <v>10</v>
      </c>
      <c r="E1023" s="227">
        <v>90000</v>
      </c>
      <c r="F1023" s="94" t="s">
        <v>209</v>
      </c>
      <c r="G1023" s="87" t="s">
        <v>1543</v>
      </c>
      <c r="H1023" s="16">
        <v>4</v>
      </c>
      <c r="I1023" s="114">
        <v>9500</v>
      </c>
      <c r="J1023" s="17"/>
      <c r="K1023" s="17"/>
      <c r="L1023" s="419">
        <f t="shared" si="42"/>
        <v>38000</v>
      </c>
      <c r="M1023" s="17"/>
      <c r="N1023" s="129"/>
    </row>
    <row r="1024" spans="1:14" ht="14.25">
      <c r="A1024" t="s">
        <v>126</v>
      </c>
      <c r="B1024" s="196">
        <v>4</v>
      </c>
      <c r="C1024" s="196">
        <v>2</v>
      </c>
      <c r="D1024" s="118">
        <v>10</v>
      </c>
      <c r="E1024" s="227">
        <v>95000</v>
      </c>
      <c r="F1024" s="94" t="s">
        <v>607</v>
      </c>
      <c r="G1024" s="87" t="s">
        <v>1543</v>
      </c>
      <c r="H1024" s="16">
        <v>4</v>
      </c>
      <c r="I1024" s="114">
        <v>29800</v>
      </c>
      <c r="J1024" s="17"/>
      <c r="K1024" s="17"/>
      <c r="L1024" s="419">
        <f t="shared" si="42"/>
        <v>119200</v>
      </c>
      <c r="M1024" s="17"/>
      <c r="N1024" s="129"/>
    </row>
    <row r="1025" spans="1:14" ht="14.25">
      <c r="A1025" t="s">
        <v>64</v>
      </c>
      <c r="B1025" s="196">
        <v>4</v>
      </c>
      <c r="C1025" s="196">
        <v>2</v>
      </c>
      <c r="D1025" s="118">
        <v>4</v>
      </c>
      <c r="E1025" s="215">
        <v>38000</v>
      </c>
      <c r="F1025" s="94" t="s">
        <v>608</v>
      </c>
      <c r="G1025" s="87" t="s">
        <v>1545</v>
      </c>
      <c r="H1025" s="16">
        <v>4</v>
      </c>
      <c r="I1025" s="115">
        <v>27450</v>
      </c>
      <c r="J1025" s="17"/>
      <c r="K1025" s="17"/>
      <c r="L1025" s="419">
        <f t="shared" si="42"/>
        <v>109800</v>
      </c>
      <c r="M1025" s="17"/>
      <c r="N1025" s="129"/>
    </row>
    <row r="1026" spans="1:14" ht="14.25">
      <c r="A1026" t="s">
        <v>64</v>
      </c>
      <c r="B1026" s="196">
        <v>4</v>
      </c>
      <c r="C1026" s="196">
        <v>2</v>
      </c>
      <c r="D1026" s="16">
        <v>4</v>
      </c>
      <c r="E1026" s="214">
        <v>119200</v>
      </c>
      <c r="F1026" s="94" t="s">
        <v>609</v>
      </c>
      <c r="G1026" s="87" t="s">
        <v>1545</v>
      </c>
      <c r="H1026" s="16">
        <v>4</v>
      </c>
      <c r="I1026" s="114">
        <v>36050</v>
      </c>
      <c r="J1026" s="17"/>
      <c r="K1026" s="17"/>
      <c r="L1026" s="419">
        <f t="shared" si="42"/>
        <v>144200</v>
      </c>
      <c r="M1026" s="17"/>
      <c r="N1026" s="129"/>
    </row>
    <row r="1027" spans="1:14" ht="14.25">
      <c r="A1027" t="s">
        <v>64</v>
      </c>
      <c r="B1027" s="196">
        <v>4</v>
      </c>
      <c r="C1027" s="196">
        <v>2</v>
      </c>
      <c r="D1027" s="16">
        <v>4</v>
      </c>
      <c r="E1027" s="231">
        <v>109800</v>
      </c>
      <c r="F1027" s="94" t="s">
        <v>612</v>
      </c>
      <c r="G1027" s="87" t="s">
        <v>1545</v>
      </c>
      <c r="H1027" s="16">
        <v>4</v>
      </c>
      <c r="I1027" s="114">
        <v>18900</v>
      </c>
      <c r="J1027" s="17"/>
      <c r="K1027" s="17"/>
      <c r="L1027" s="419">
        <f t="shared" si="42"/>
        <v>75600</v>
      </c>
      <c r="M1027" s="17"/>
      <c r="N1027" s="129"/>
    </row>
    <row r="1028" spans="1:14" ht="14.25">
      <c r="A1028" t="s">
        <v>64</v>
      </c>
      <c r="B1028" s="196">
        <v>4</v>
      </c>
      <c r="C1028" s="196">
        <v>2</v>
      </c>
      <c r="D1028" s="16">
        <v>4</v>
      </c>
      <c r="E1028" s="214">
        <v>144200</v>
      </c>
      <c r="F1028" s="94" t="s">
        <v>610</v>
      </c>
      <c r="G1028" s="87" t="s">
        <v>1545</v>
      </c>
      <c r="H1028" s="16">
        <v>4</v>
      </c>
      <c r="I1028" s="114">
        <v>23700</v>
      </c>
      <c r="J1028" s="17"/>
      <c r="K1028" s="17"/>
      <c r="L1028" s="419">
        <f t="shared" si="42"/>
        <v>94800</v>
      </c>
      <c r="M1028" s="17"/>
      <c r="N1028" s="129"/>
    </row>
    <row r="1029" spans="1:14" ht="14.25">
      <c r="A1029" t="s">
        <v>64</v>
      </c>
      <c r="B1029" s="196">
        <v>4</v>
      </c>
      <c r="C1029" s="196">
        <v>2</v>
      </c>
      <c r="D1029" s="16">
        <v>4</v>
      </c>
      <c r="E1029" s="214">
        <v>75600</v>
      </c>
      <c r="F1029" s="94" t="s">
        <v>611</v>
      </c>
      <c r="G1029" s="87" t="s">
        <v>1545</v>
      </c>
      <c r="H1029" s="16">
        <v>4</v>
      </c>
      <c r="I1029" s="114">
        <v>29800</v>
      </c>
      <c r="J1029" s="17"/>
      <c r="K1029" s="17"/>
      <c r="L1029" s="419">
        <f t="shared" si="42"/>
        <v>119200</v>
      </c>
      <c r="M1029" s="17"/>
      <c r="N1029" s="129"/>
    </row>
    <row r="1030" spans="1:14" ht="14.25">
      <c r="A1030" t="s">
        <v>64</v>
      </c>
      <c r="B1030" s="196">
        <v>4</v>
      </c>
      <c r="C1030" s="196">
        <v>2</v>
      </c>
      <c r="D1030" s="16">
        <v>4</v>
      </c>
      <c r="E1030" s="214">
        <v>94800</v>
      </c>
      <c r="F1030" s="94" t="s">
        <v>619</v>
      </c>
      <c r="G1030" s="87" t="s">
        <v>1545</v>
      </c>
      <c r="H1030" s="16">
        <v>4</v>
      </c>
      <c r="I1030" s="114">
        <v>18900</v>
      </c>
      <c r="J1030" s="17"/>
      <c r="K1030" s="17"/>
      <c r="L1030" s="419">
        <f t="shared" si="42"/>
        <v>75600</v>
      </c>
      <c r="M1030" s="17"/>
      <c r="N1030" s="129"/>
    </row>
    <row r="1031" spans="1:14" ht="14.25">
      <c r="A1031" t="s">
        <v>64</v>
      </c>
      <c r="B1031" s="196">
        <v>4</v>
      </c>
      <c r="C1031" s="196">
        <v>2</v>
      </c>
      <c r="D1031" s="16">
        <v>4</v>
      </c>
      <c r="E1031" s="214">
        <v>119200</v>
      </c>
      <c r="F1031" s="94" t="s">
        <v>620</v>
      </c>
      <c r="G1031" s="87" t="s">
        <v>1545</v>
      </c>
      <c r="H1031" s="16">
        <v>4</v>
      </c>
      <c r="I1031" s="115">
        <v>72900</v>
      </c>
      <c r="J1031" s="17"/>
      <c r="K1031" s="17"/>
      <c r="L1031" s="419">
        <f t="shared" si="42"/>
        <v>291600</v>
      </c>
      <c r="M1031" s="17"/>
      <c r="N1031" s="129"/>
    </row>
    <row r="1032" spans="1:14" ht="14.25">
      <c r="A1032" t="s">
        <v>64</v>
      </c>
      <c r="B1032" s="196">
        <v>4</v>
      </c>
      <c r="C1032" s="196">
        <v>2</v>
      </c>
      <c r="D1032" s="16">
        <v>4</v>
      </c>
      <c r="E1032" s="214">
        <v>75600</v>
      </c>
      <c r="F1032" s="94" t="s">
        <v>621</v>
      </c>
      <c r="G1032" s="87" t="s">
        <v>1545</v>
      </c>
      <c r="H1032" s="16">
        <v>4</v>
      </c>
      <c r="I1032" s="115">
        <v>72900</v>
      </c>
      <c r="J1032" s="17"/>
      <c r="K1032" s="17"/>
      <c r="L1032" s="419">
        <f t="shared" si="42"/>
        <v>291600</v>
      </c>
      <c r="M1032" s="17"/>
      <c r="N1032" s="129"/>
    </row>
    <row r="1033" spans="1:14" ht="14.25">
      <c r="A1033" t="s">
        <v>64</v>
      </c>
      <c r="B1033" s="196">
        <v>4</v>
      </c>
      <c r="C1033" s="196">
        <v>2</v>
      </c>
      <c r="D1033" s="16">
        <v>4</v>
      </c>
      <c r="E1033" s="231">
        <v>291600</v>
      </c>
      <c r="F1033" s="94" t="s">
        <v>1192</v>
      </c>
      <c r="G1033" s="87"/>
      <c r="H1033" s="16">
        <v>4</v>
      </c>
      <c r="I1033" s="115">
        <v>26740.99</v>
      </c>
      <c r="J1033" s="17"/>
      <c r="K1033" s="17"/>
      <c r="L1033" s="419">
        <f t="shared" si="42"/>
        <v>106963.96</v>
      </c>
      <c r="M1033" s="17"/>
      <c r="N1033" s="129"/>
    </row>
    <row r="1034" spans="1:14" ht="14.25">
      <c r="A1034" t="s">
        <v>127</v>
      </c>
      <c r="B1034" s="196">
        <v>4</v>
      </c>
      <c r="C1034" s="196">
        <v>2</v>
      </c>
      <c r="D1034" s="16">
        <v>4</v>
      </c>
      <c r="E1034" s="231">
        <v>106963.96</v>
      </c>
      <c r="F1034" s="14" t="s">
        <v>1166</v>
      </c>
      <c r="G1034" s="87"/>
      <c r="H1034" s="16">
        <v>0</v>
      </c>
      <c r="I1034" s="17">
        <v>16199.4</v>
      </c>
      <c r="J1034" s="17"/>
      <c r="K1034" s="17"/>
      <c r="L1034" s="419">
        <f t="shared" si="42"/>
        <v>0</v>
      </c>
      <c r="M1034" s="17"/>
      <c r="N1034" s="129"/>
    </row>
    <row r="1035" spans="1:14" ht="14.25">
      <c r="A1035" t="s">
        <v>121</v>
      </c>
      <c r="B1035" s="196"/>
      <c r="C1035" s="196"/>
      <c r="D1035" s="16"/>
      <c r="E1035" s="231"/>
      <c r="F1035" s="94" t="s">
        <v>1598</v>
      </c>
      <c r="G1035" s="92" t="s">
        <v>649</v>
      </c>
      <c r="H1035" s="16"/>
      <c r="I1035" s="17"/>
      <c r="J1035" s="17"/>
      <c r="K1035" s="17"/>
      <c r="L1035" s="419"/>
      <c r="M1035" s="17"/>
      <c r="N1035" s="129"/>
    </row>
    <row r="1036" spans="1:14" ht="14.25">
      <c r="A1036" t="s">
        <v>129</v>
      </c>
      <c r="B1036" s="196">
        <v>4</v>
      </c>
      <c r="C1036" s="196">
        <v>2</v>
      </c>
      <c r="D1036" s="118">
        <v>0</v>
      </c>
      <c r="E1036" s="215">
        <v>0</v>
      </c>
      <c r="F1036" s="94" t="s">
        <v>1599</v>
      </c>
      <c r="G1036" s="92"/>
      <c r="H1036" s="16"/>
      <c r="I1036" s="17"/>
      <c r="J1036" s="17"/>
      <c r="K1036" s="17"/>
      <c r="L1036" s="419"/>
      <c r="M1036" s="17"/>
      <c r="N1036" s="129"/>
    </row>
    <row r="1037" spans="1:14" ht="14.25">
      <c r="A1037" t="s">
        <v>129</v>
      </c>
      <c r="B1037" s="196">
        <v>4</v>
      </c>
      <c r="C1037" s="196">
        <v>2</v>
      </c>
      <c r="D1037" s="213"/>
      <c r="E1037" s="215"/>
      <c r="F1037" s="94" t="s">
        <v>285</v>
      </c>
      <c r="G1037" s="92"/>
      <c r="H1037" s="534">
        <v>2</v>
      </c>
      <c r="I1037" s="544">
        <v>12900</v>
      </c>
      <c r="J1037" s="17"/>
      <c r="K1037" s="17"/>
      <c r="L1037" s="419">
        <f>(H1037*I1037)</f>
        <v>25800</v>
      </c>
      <c r="M1037" s="17"/>
      <c r="N1037" s="129"/>
    </row>
    <row r="1038" spans="1:14" ht="14.25">
      <c r="A1038" t="s">
        <v>797</v>
      </c>
      <c r="B1038" s="196">
        <v>4</v>
      </c>
      <c r="C1038" s="196">
        <v>2</v>
      </c>
      <c r="D1038" s="213"/>
      <c r="E1038" s="215"/>
      <c r="F1038" s="564" t="s">
        <v>796</v>
      </c>
      <c r="G1038" s="533" t="s">
        <v>1001</v>
      </c>
      <c r="H1038" s="177">
        <v>10</v>
      </c>
      <c r="I1038" s="123">
        <v>15080</v>
      </c>
      <c r="J1038" s="12"/>
      <c r="K1038" s="12"/>
      <c r="L1038" s="419">
        <f>(H1038*I1038)</f>
        <v>150800</v>
      </c>
      <c r="M1038" s="17"/>
      <c r="N1038" s="129"/>
    </row>
    <row r="1039" spans="1:14" ht="15">
      <c r="A1039" t="s">
        <v>128</v>
      </c>
      <c r="B1039" s="196"/>
      <c r="C1039" s="196"/>
      <c r="D1039" s="213"/>
      <c r="E1039" s="203"/>
      <c r="F1039" s="94" t="s">
        <v>425</v>
      </c>
      <c r="G1039" s="87" t="s">
        <v>1540</v>
      </c>
      <c r="H1039" s="11"/>
      <c r="I1039" s="12"/>
      <c r="J1039" s="12"/>
      <c r="K1039" s="12"/>
      <c r="L1039" s="430">
        <f>10323180.15-8000848.69</f>
        <v>2322331.46</v>
      </c>
      <c r="M1039" s="17"/>
      <c r="N1039" s="129"/>
    </row>
    <row r="1040" spans="2:14" ht="14.25">
      <c r="B1040" s="196">
        <v>4</v>
      </c>
      <c r="C1040" s="196">
        <v>2</v>
      </c>
      <c r="D1040" s="118">
        <v>10</v>
      </c>
      <c r="E1040" s="197">
        <v>150800</v>
      </c>
      <c r="F1040" s="94" t="s">
        <v>711</v>
      </c>
      <c r="G1040" s="87"/>
      <c r="H1040" s="16"/>
      <c r="I1040" s="17" t="s">
        <v>1368</v>
      </c>
      <c r="J1040" s="17"/>
      <c r="K1040" s="17"/>
      <c r="L1040" s="419">
        <f>SUM(L485:L1039)</f>
        <v>45000000.00428573</v>
      </c>
      <c r="M1040" s="17"/>
      <c r="N1040" s="129"/>
    </row>
    <row r="1041" spans="2:14" ht="15">
      <c r="B1041" s="196"/>
      <c r="C1041" s="196"/>
      <c r="D1041" s="118"/>
      <c r="E1041" s="197">
        <v>173169.96</v>
      </c>
      <c r="F1041" s="94"/>
      <c r="G1041" s="92"/>
      <c r="H1041" s="16"/>
      <c r="I1041" s="17"/>
      <c r="J1041" s="17"/>
      <c r="K1041" s="17"/>
      <c r="L1041" s="419"/>
      <c r="M1041" s="124"/>
      <c r="N1041" s="328"/>
    </row>
    <row r="1042" spans="2:15" ht="14.25">
      <c r="B1042" s="196"/>
      <c r="C1042" s="196"/>
      <c r="D1042" s="213"/>
      <c r="E1042" s="197">
        <v>35000931.604285724</v>
      </c>
      <c r="F1042" s="94"/>
      <c r="G1042" s="92"/>
      <c r="H1042" s="16"/>
      <c r="I1042" s="17"/>
      <c r="J1042" s="17"/>
      <c r="K1042" s="17"/>
      <c r="L1042" s="419"/>
      <c r="M1042" s="17"/>
      <c r="N1042" s="129"/>
      <c r="O1042" s="286">
        <f>L1040-45000000</f>
        <v>0.004285730421543121</v>
      </c>
    </row>
    <row r="1043" spans="2:14" ht="15">
      <c r="B1043" s="196"/>
      <c r="C1043" s="196"/>
      <c r="D1043" s="213"/>
      <c r="E1043" s="197"/>
      <c r="F1043" s="102" t="s">
        <v>1167</v>
      </c>
      <c r="G1043" s="92"/>
      <c r="H1043" s="16"/>
      <c r="I1043" s="17"/>
      <c r="J1043" s="17"/>
      <c r="K1043" s="17"/>
      <c r="L1043" s="429">
        <f>SUM(L1044:L1159)</f>
        <v>51003003</v>
      </c>
      <c r="M1043" s="17"/>
      <c r="N1043" s="129"/>
    </row>
    <row r="1044" spans="1:14" ht="14.25">
      <c r="A1044" t="s">
        <v>1229</v>
      </c>
      <c r="B1044" s="196"/>
      <c r="C1044" s="196"/>
      <c r="D1044" s="213"/>
      <c r="E1044" s="197"/>
      <c r="F1044" s="568" t="s">
        <v>331</v>
      </c>
      <c r="G1044" s="532" t="s">
        <v>509</v>
      </c>
      <c r="H1044" s="539">
        <v>1</v>
      </c>
      <c r="I1044" s="17"/>
      <c r="J1044" s="17"/>
      <c r="K1044" s="17"/>
      <c r="L1044" s="423">
        <f aca="true" t="shared" si="43" ref="L1044:L1077">(H1044*I1044)</f>
        <v>0</v>
      </c>
      <c r="M1044" s="17"/>
      <c r="N1044" s="129"/>
    </row>
    <row r="1045" spans="1:14" ht="15">
      <c r="A1045" t="s">
        <v>1247</v>
      </c>
      <c r="B1045" s="196">
        <v>5</v>
      </c>
      <c r="C1045" s="196">
        <v>7</v>
      </c>
      <c r="D1045" s="118">
        <v>10</v>
      </c>
      <c r="E1045" s="220">
        <v>8000</v>
      </c>
      <c r="F1045" s="14" t="s">
        <v>776</v>
      </c>
      <c r="G1045" s="15" t="s">
        <v>649</v>
      </c>
      <c r="H1045" s="16">
        <v>2</v>
      </c>
      <c r="I1045" s="17">
        <v>38000</v>
      </c>
      <c r="J1045" s="17"/>
      <c r="K1045" s="17"/>
      <c r="L1045" s="419">
        <f t="shared" si="43"/>
        <v>76000</v>
      </c>
      <c r="M1045" s="17"/>
      <c r="N1045" s="327"/>
    </row>
    <row r="1046" spans="1:14" ht="15">
      <c r="A1046" t="s">
        <v>1230</v>
      </c>
      <c r="B1046" s="196">
        <v>1</v>
      </c>
      <c r="C1046" s="196">
        <v>3</v>
      </c>
      <c r="D1046" s="207">
        <v>4</v>
      </c>
      <c r="E1046" s="221">
        <v>127400</v>
      </c>
      <c r="F1046" s="14" t="s">
        <v>1193</v>
      </c>
      <c r="G1046" s="15" t="s">
        <v>649</v>
      </c>
      <c r="H1046" s="16">
        <v>50</v>
      </c>
      <c r="I1046" s="17">
        <v>20100</v>
      </c>
      <c r="J1046" s="17"/>
      <c r="K1046" s="17"/>
      <c r="L1046" s="419">
        <f t="shared" si="43"/>
        <v>1005000</v>
      </c>
      <c r="M1046" s="17"/>
      <c r="N1046" s="327"/>
    </row>
    <row r="1047" spans="1:14" ht="14.25">
      <c r="A1047" t="s">
        <v>1231</v>
      </c>
      <c r="B1047" s="196">
        <v>4</v>
      </c>
      <c r="C1047" s="196">
        <v>2</v>
      </c>
      <c r="D1047" s="213">
        <v>10</v>
      </c>
      <c r="E1047" s="154">
        <v>840360</v>
      </c>
      <c r="F1047" s="14" t="s">
        <v>1513</v>
      </c>
      <c r="G1047" s="15" t="s">
        <v>649</v>
      </c>
      <c r="H1047" s="16">
        <v>50</v>
      </c>
      <c r="I1047" s="17">
        <v>20880</v>
      </c>
      <c r="J1047" s="17"/>
      <c r="K1047" s="17"/>
      <c r="L1047" s="419">
        <f t="shared" si="43"/>
        <v>1044000</v>
      </c>
      <c r="M1047" s="17"/>
      <c r="N1047" s="321"/>
    </row>
    <row r="1048" spans="1:14" ht="14.25">
      <c r="A1048" t="s">
        <v>1231</v>
      </c>
      <c r="B1048" s="196">
        <v>4</v>
      </c>
      <c r="C1048" s="196">
        <v>2</v>
      </c>
      <c r="D1048" s="213">
        <v>50</v>
      </c>
      <c r="E1048" s="154">
        <v>1005000</v>
      </c>
      <c r="F1048" s="14" t="s">
        <v>1194</v>
      </c>
      <c r="G1048" s="15" t="s">
        <v>649</v>
      </c>
      <c r="H1048" s="16">
        <v>30</v>
      </c>
      <c r="I1048" s="70">
        <v>20880</v>
      </c>
      <c r="J1048" s="17"/>
      <c r="K1048" s="17"/>
      <c r="L1048" s="419">
        <f t="shared" si="43"/>
        <v>626400</v>
      </c>
      <c r="M1048" s="17"/>
      <c r="N1048" s="321"/>
    </row>
    <row r="1049" spans="1:14" ht="14.25">
      <c r="A1049" t="s">
        <v>1231</v>
      </c>
      <c r="B1049" s="196">
        <v>4</v>
      </c>
      <c r="C1049" s="196">
        <v>2</v>
      </c>
      <c r="D1049" s="213">
        <v>50</v>
      </c>
      <c r="E1049" s="154">
        <v>1044000</v>
      </c>
      <c r="F1049" s="14" t="s">
        <v>1515</v>
      </c>
      <c r="G1049" s="15" t="s">
        <v>649</v>
      </c>
      <c r="H1049" s="16">
        <v>40</v>
      </c>
      <c r="I1049" s="148">
        <v>5932.24</v>
      </c>
      <c r="J1049" s="17"/>
      <c r="K1049" s="17"/>
      <c r="L1049" s="419">
        <f t="shared" si="43"/>
        <v>237289.59999999998</v>
      </c>
      <c r="M1049" s="17"/>
      <c r="N1049" s="321"/>
    </row>
    <row r="1050" spans="1:14" ht="14.25">
      <c r="A1050" t="s">
        <v>1231</v>
      </c>
      <c r="B1050" s="196">
        <v>4</v>
      </c>
      <c r="C1050" s="196">
        <v>2</v>
      </c>
      <c r="D1050" s="213">
        <v>30</v>
      </c>
      <c r="E1050" s="154">
        <v>626400</v>
      </c>
      <c r="F1050" s="14" t="s">
        <v>1514</v>
      </c>
      <c r="G1050" s="92" t="s">
        <v>649</v>
      </c>
      <c r="H1050" s="16">
        <v>60</v>
      </c>
      <c r="I1050" s="148">
        <v>42000</v>
      </c>
      <c r="J1050" s="17"/>
      <c r="K1050" s="17"/>
      <c r="L1050" s="419">
        <f t="shared" si="43"/>
        <v>2520000</v>
      </c>
      <c r="M1050" s="17"/>
      <c r="N1050" s="321"/>
    </row>
    <row r="1051" spans="1:14" ht="14.25">
      <c r="A1051" t="s">
        <v>1231</v>
      </c>
      <c r="B1051" s="196">
        <v>4</v>
      </c>
      <c r="C1051" s="196">
        <v>2</v>
      </c>
      <c r="D1051" s="213">
        <v>40</v>
      </c>
      <c r="E1051" s="232">
        <v>237289.6</v>
      </c>
      <c r="F1051" s="14" t="s">
        <v>1195</v>
      </c>
      <c r="G1051" s="92" t="s">
        <v>649</v>
      </c>
      <c r="H1051" s="16">
        <v>40</v>
      </c>
      <c r="I1051" s="148">
        <v>5932.24</v>
      </c>
      <c r="J1051" s="17"/>
      <c r="K1051" s="17"/>
      <c r="L1051" s="419">
        <f t="shared" si="43"/>
        <v>237289.59999999998</v>
      </c>
      <c r="M1051" s="17"/>
      <c r="N1051" s="129"/>
    </row>
    <row r="1052" spans="1:14" ht="14.25">
      <c r="A1052" t="s">
        <v>1231</v>
      </c>
      <c r="B1052" s="196">
        <v>4</v>
      </c>
      <c r="C1052" s="196">
        <v>2</v>
      </c>
      <c r="D1052" s="213">
        <v>60</v>
      </c>
      <c r="E1052" s="232">
        <v>2520000</v>
      </c>
      <c r="F1052" s="14" t="s">
        <v>1196</v>
      </c>
      <c r="G1052" s="92" t="s">
        <v>649</v>
      </c>
      <c r="H1052" s="16">
        <v>40</v>
      </c>
      <c r="I1052" s="148">
        <v>5000</v>
      </c>
      <c r="J1052" s="17"/>
      <c r="K1052" s="17"/>
      <c r="L1052" s="419">
        <f t="shared" si="43"/>
        <v>200000</v>
      </c>
      <c r="M1052" s="17"/>
      <c r="N1052" s="129"/>
    </row>
    <row r="1053" spans="1:14" ht="14.25">
      <c r="A1053" t="s">
        <v>1231</v>
      </c>
      <c r="B1053" s="196">
        <v>4</v>
      </c>
      <c r="C1053" s="196">
        <v>2</v>
      </c>
      <c r="D1053" s="213">
        <v>40</v>
      </c>
      <c r="E1053" s="232">
        <v>237289.6</v>
      </c>
      <c r="F1053" s="14" t="s">
        <v>1197</v>
      </c>
      <c r="G1053" s="92" t="s">
        <v>649</v>
      </c>
      <c r="H1053" s="16">
        <v>50</v>
      </c>
      <c r="I1053" s="148">
        <v>3405.1</v>
      </c>
      <c r="J1053" s="17"/>
      <c r="K1053" s="17"/>
      <c r="L1053" s="419">
        <f t="shared" si="43"/>
        <v>170255</v>
      </c>
      <c r="M1053" s="17"/>
      <c r="N1053" s="129"/>
    </row>
    <row r="1054" spans="1:14" ht="14.25">
      <c r="A1054" t="s">
        <v>1231</v>
      </c>
      <c r="B1054" s="196">
        <v>4</v>
      </c>
      <c r="C1054" s="196">
        <v>2</v>
      </c>
      <c r="D1054" s="213">
        <v>40</v>
      </c>
      <c r="E1054" s="232">
        <v>200000</v>
      </c>
      <c r="F1054" s="14" t="s">
        <v>1198</v>
      </c>
      <c r="G1054" s="15" t="s">
        <v>649</v>
      </c>
      <c r="H1054" s="16">
        <v>50</v>
      </c>
      <c r="I1054" s="148">
        <v>3412.02</v>
      </c>
      <c r="J1054" s="17"/>
      <c r="K1054" s="17"/>
      <c r="L1054" s="419">
        <f t="shared" si="43"/>
        <v>170601</v>
      </c>
      <c r="M1054" s="17"/>
      <c r="N1054" s="129"/>
    </row>
    <row r="1055" spans="1:14" ht="14.25">
      <c r="A1055" t="s">
        <v>1231</v>
      </c>
      <c r="B1055" s="196">
        <v>4</v>
      </c>
      <c r="C1055" s="196">
        <v>2</v>
      </c>
      <c r="D1055" s="213">
        <v>50</v>
      </c>
      <c r="E1055" s="232">
        <v>170255</v>
      </c>
      <c r="F1055" s="2" t="s">
        <v>1199</v>
      </c>
      <c r="G1055" s="92" t="s">
        <v>649</v>
      </c>
      <c r="H1055" s="16">
        <v>30</v>
      </c>
      <c r="I1055" s="148">
        <v>32000</v>
      </c>
      <c r="J1055" s="17"/>
      <c r="K1055" s="17"/>
      <c r="L1055" s="419">
        <f t="shared" si="43"/>
        <v>960000</v>
      </c>
      <c r="M1055" s="17"/>
      <c r="N1055" s="129"/>
    </row>
    <row r="1056" spans="1:14" ht="14.25">
      <c r="A1056" t="s">
        <v>1231</v>
      </c>
      <c r="B1056" s="196">
        <v>4</v>
      </c>
      <c r="C1056" s="196">
        <v>2</v>
      </c>
      <c r="D1056" s="213">
        <v>50</v>
      </c>
      <c r="E1056" s="232">
        <v>170601</v>
      </c>
      <c r="F1056" s="14" t="s">
        <v>1200</v>
      </c>
      <c r="G1056" s="92" t="s">
        <v>649</v>
      </c>
      <c r="H1056" s="16">
        <v>30</v>
      </c>
      <c r="I1056" s="148">
        <v>40540</v>
      </c>
      <c r="J1056" s="17"/>
      <c r="K1056" s="17"/>
      <c r="L1056" s="419">
        <f t="shared" si="43"/>
        <v>1216200</v>
      </c>
      <c r="M1056" s="17"/>
      <c r="N1056" s="129"/>
    </row>
    <row r="1057" spans="1:14" ht="14.25">
      <c r="A1057" t="s">
        <v>1231</v>
      </c>
      <c r="B1057" s="196">
        <v>4</v>
      </c>
      <c r="C1057" s="196">
        <v>2</v>
      </c>
      <c r="D1057" s="213">
        <v>30</v>
      </c>
      <c r="E1057" s="232">
        <v>960000</v>
      </c>
      <c r="F1057" s="14" t="s">
        <v>1201</v>
      </c>
      <c r="G1057" s="92" t="s">
        <v>649</v>
      </c>
      <c r="H1057" s="16">
        <v>50</v>
      </c>
      <c r="I1057" s="148">
        <v>54502.6</v>
      </c>
      <c r="J1057" s="17"/>
      <c r="K1057" s="17"/>
      <c r="L1057" s="419">
        <f t="shared" si="43"/>
        <v>2725130</v>
      </c>
      <c r="M1057" s="17"/>
      <c r="N1057" s="129"/>
    </row>
    <row r="1058" spans="1:14" ht="14.25">
      <c r="A1058" t="s">
        <v>1229</v>
      </c>
      <c r="B1058" s="196">
        <v>1</v>
      </c>
      <c r="C1058" s="196">
        <v>3</v>
      </c>
      <c r="D1058" s="207">
        <v>60</v>
      </c>
      <c r="E1058" s="660">
        <v>175218</v>
      </c>
      <c r="F1058" s="14" t="s">
        <v>1202</v>
      </c>
      <c r="G1058" s="15" t="s">
        <v>649</v>
      </c>
      <c r="H1058" s="16">
        <v>10</v>
      </c>
      <c r="I1058" s="148">
        <v>84036</v>
      </c>
      <c r="J1058" s="17"/>
      <c r="K1058" s="17"/>
      <c r="L1058" s="419">
        <f t="shared" si="43"/>
        <v>840360</v>
      </c>
      <c r="M1058" s="126"/>
      <c r="N1058" s="129"/>
    </row>
    <row r="1059" spans="1:14" ht="14.25">
      <c r="A1059" t="s">
        <v>1231</v>
      </c>
      <c r="B1059" s="196">
        <v>4</v>
      </c>
      <c r="C1059" s="196">
        <v>2</v>
      </c>
      <c r="D1059" s="213">
        <v>30</v>
      </c>
      <c r="E1059" s="232">
        <v>1216200</v>
      </c>
      <c r="F1059" s="14" t="s">
        <v>1189</v>
      </c>
      <c r="G1059" s="15" t="s">
        <v>649</v>
      </c>
      <c r="H1059" s="16">
        <v>5</v>
      </c>
      <c r="I1059" s="17">
        <f>173180*1.16</f>
        <v>200888.8</v>
      </c>
      <c r="J1059" s="17"/>
      <c r="K1059" s="17"/>
      <c r="L1059" s="419">
        <f t="shared" si="43"/>
        <v>1004444</v>
      </c>
      <c r="M1059" s="17"/>
      <c r="N1059" s="129"/>
    </row>
    <row r="1060" spans="1:14" ht="14.25">
      <c r="A1060" t="s">
        <v>1465</v>
      </c>
      <c r="B1060" s="196">
        <v>4</v>
      </c>
      <c r="C1060" s="196">
        <v>2</v>
      </c>
      <c r="D1060" s="213">
        <v>50</v>
      </c>
      <c r="E1060" s="232">
        <v>2725130</v>
      </c>
      <c r="F1060" s="14" t="s">
        <v>1189</v>
      </c>
      <c r="G1060" s="15" t="s">
        <v>649</v>
      </c>
      <c r="H1060" s="16">
        <v>4</v>
      </c>
      <c r="I1060" s="17">
        <f>173180*1.16</f>
        <v>200888.8</v>
      </c>
      <c r="J1060" s="17"/>
      <c r="K1060" s="17"/>
      <c r="L1060" s="419">
        <f t="shared" si="43"/>
        <v>803555.2</v>
      </c>
      <c r="M1060" s="17"/>
      <c r="N1060" s="129"/>
    </row>
    <row r="1061" spans="1:14" ht="14.25">
      <c r="A1061" t="s">
        <v>1465</v>
      </c>
      <c r="B1061" s="196"/>
      <c r="C1061" s="196"/>
      <c r="D1061" s="213">
        <v>2</v>
      </c>
      <c r="E1061" s="154">
        <v>1004444</v>
      </c>
      <c r="F1061" s="14" t="s">
        <v>1203</v>
      </c>
      <c r="G1061" s="15" t="s">
        <v>649</v>
      </c>
      <c r="H1061" s="16">
        <v>450</v>
      </c>
      <c r="I1061" s="17">
        <v>1000</v>
      </c>
      <c r="J1061" s="17"/>
      <c r="K1061" s="17"/>
      <c r="L1061" s="419">
        <f t="shared" si="43"/>
        <v>450000</v>
      </c>
      <c r="M1061" s="17"/>
      <c r="N1061" s="129"/>
    </row>
    <row r="1062" spans="1:14" ht="14.25">
      <c r="A1062" t="s">
        <v>1465</v>
      </c>
      <c r="B1062" s="196"/>
      <c r="C1062" s="196"/>
      <c r="D1062" s="213">
        <v>1</v>
      </c>
      <c r="E1062" s="154">
        <v>803555.2</v>
      </c>
      <c r="F1062" s="14" t="s">
        <v>1207</v>
      </c>
      <c r="G1062" s="15" t="s">
        <v>649</v>
      </c>
      <c r="H1062" s="16">
        <v>50</v>
      </c>
      <c r="I1062" s="17">
        <v>12695.04</v>
      </c>
      <c r="J1062" s="17"/>
      <c r="K1062" s="17"/>
      <c r="L1062" s="419">
        <f t="shared" si="43"/>
        <v>634752</v>
      </c>
      <c r="M1062" s="17"/>
      <c r="N1062" s="129"/>
    </row>
    <row r="1063" spans="1:14" ht="14.25">
      <c r="A1063" t="s">
        <v>1465</v>
      </c>
      <c r="B1063" s="196">
        <v>4</v>
      </c>
      <c r="C1063" s="196">
        <v>2</v>
      </c>
      <c r="D1063" s="213">
        <v>450</v>
      </c>
      <c r="E1063" s="154">
        <v>450000</v>
      </c>
      <c r="F1063" s="14" t="s">
        <v>1208</v>
      </c>
      <c r="G1063" s="15" t="s">
        <v>649</v>
      </c>
      <c r="H1063" s="16">
        <v>30</v>
      </c>
      <c r="I1063" s="17">
        <v>22480.8</v>
      </c>
      <c r="J1063" s="17"/>
      <c r="K1063" s="17"/>
      <c r="L1063" s="419">
        <f t="shared" si="43"/>
        <v>674424</v>
      </c>
      <c r="M1063" s="17"/>
      <c r="N1063" s="129"/>
    </row>
    <row r="1064" spans="1:14" ht="14.25">
      <c r="A1064" t="s">
        <v>1465</v>
      </c>
      <c r="B1064" s="196">
        <v>4</v>
      </c>
      <c r="C1064" s="196">
        <v>2</v>
      </c>
      <c r="D1064" s="213">
        <v>50</v>
      </c>
      <c r="E1064" s="154">
        <v>634752</v>
      </c>
      <c r="F1064" s="14" t="s">
        <v>1209</v>
      </c>
      <c r="G1064" s="15" t="s">
        <v>649</v>
      </c>
      <c r="H1064" s="16">
        <v>30</v>
      </c>
      <c r="I1064" s="17">
        <v>346.65</v>
      </c>
      <c r="J1064" s="17"/>
      <c r="K1064" s="17"/>
      <c r="L1064" s="419">
        <f t="shared" si="43"/>
        <v>10399.5</v>
      </c>
      <c r="M1064" s="17"/>
      <c r="N1064" s="129"/>
    </row>
    <row r="1065" spans="1:14" ht="14.25">
      <c r="A1065" t="s">
        <v>1465</v>
      </c>
      <c r="B1065" s="196">
        <v>4</v>
      </c>
      <c r="C1065" s="196">
        <v>2</v>
      </c>
      <c r="D1065" s="213">
        <v>30</v>
      </c>
      <c r="E1065" s="154">
        <v>674424</v>
      </c>
      <c r="F1065" s="14" t="s">
        <v>1210</v>
      </c>
      <c r="G1065" s="15" t="s">
        <v>649</v>
      </c>
      <c r="H1065" s="16">
        <v>30</v>
      </c>
      <c r="I1065" s="17">
        <v>588.4</v>
      </c>
      <c r="J1065" s="17"/>
      <c r="K1065" s="17"/>
      <c r="L1065" s="419">
        <f t="shared" si="43"/>
        <v>17652</v>
      </c>
      <c r="M1065" s="17"/>
      <c r="N1065" s="129"/>
    </row>
    <row r="1066" spans="1:14" ht="14.25">
      <c r="A1066" t="s">
        <v>1465</v>
      </c>
      <c r="B1066" s="196">
        <v>4</v>
      </c>
      <c r="C1066" s="196">
        <v>2</v>
      </c>
      <c r="D1066" s="213">
        <v>30</v>
      </c>
      <c r="E1066" s="154">
        <v>10399.5</v>
      </c>
      <c r="F1066" s="14" t="s">
        <v>1217</v>
      </c>
      <c r="G1066" s="15" t="s">
        <v>649</v>
      </c>
      <c r="H1066" s="16">
        <v>30</v>
      </c>
      <c r="I1066" s="17">
        <v>4176</v>
      </c>
      <c r="J1066" s="17"/>
      <c r="K1066" s="17"/>
      <c r="L1066" s="419">
        <f t="shared" si="43"/>
        <v>125280</v>
      </c>
      <c r="M1066" s="17"/>
      <c r="N1066" s="129"/>
    </row>
    <row r="1067" spans="1:14" ht="15">
      <c r="A1067" t="s">
        <v>1465</v>
      </c>
      <c r="B1067" s="196">
        <v>4</v>
      </c>
      <c r="C1067" s="196">
        <v>2</v>
      </c>
      <c r="D1067" s="213">
        <v>30</v>
      </c>
      <c r="E1067" s="154">
        <v>17652</v>
      </c>
      <c r="F1067" s="14" t="s">
        <v>1218</v>
      </c>
      <c r="G1067" s="15" t="s">
        <v>649</v>
      </c>
      <c r="H1067" s="16">
        <v>30</v>
      </c>
      <c r="I1067" s="277">
        <v>426</v>
      </c>
      <c r="J1067" s="17"/>
      <c r="K1067" s="17"/>
      <c r="L1067" s="419">
        <f t="shared" si="43"/>
        <v>12780</v>
      </c>
      <c r="M1067" s="17"/>
      <c r="N1067" s="129"/>
    </row>
    <row r="1068" spans="1:14" ht="14.25">
      <c r="A1068" t="s">
        <v>1232</v>
      </c>
      <c r="B1068" s="196">
        <v>4</v>
      </c>
      <c r="C1068" s="196">
        <v>2</v>
      </c>
      <c r="D1068" s="213">
        <v>0</v>
      </c>
      <c r="E1068" s="154">
        <v>0</v>
      </c>
      <c r="F1068" s="666" t="s">
        <v>420</v>
      </c>
      <c r="G1068" s="15"/>
      <c r="H1068" s="16">
        <v>0</v>
      </c>
      <c r="I1068" s="17">
        <v>788.8</v>
      </c>
      <c r="J1068" s="17"/>
      <c r="K1068" s="17"/>
      <c r="L1068" s="419">
        <f t="shared" si="43"/>
        <v>0</v>
      </c>
      <c r="M1068" s="17"/>
      <c r="N1068" s="129"/>
    </row>
    <row r="1069" spans="1:14" ht="14.25">
      <c r="A1069" t="s">
        <v>1232</v>
      </c>
      <c r="B1069" s="196">
        <v>4</v>
      </c>
      <c r="C1069" s="196">
        <v>2</v>
      </c>
      <c r="D1069" s="213">
        <v>30</v>
      </c>
      <c r="E1069" s="154">
        <v>12780</v>
      </c>
      <c r="F1069" s="2" t="s">
        <v>634</v>
      </c>
      <c r="G1069" s="15"/>
      <c r="H1069" s="16">
        <v>0</v>
      </c>
      <c r="I1069" s="17">
        <v>812</v>
      </c>
      <c r="J1069" s="17"/>
      <c r="K1069" s="17"/>
      <c r="L1069" s="419">
        <f t="shared" si="43"/>
        <v>0</v>
      </c>
      <c r="M1069" s="17"/>
      <c r="N1069" s="129"/>
    </row>
    <row r="1070" spans="1:14" ht="14.25">
      <c r="A1070" t="s">
        <v>1465</v>
      </c>
      <c r="B1070" s="196">
        <v>4</v>
      </c>
      <c r="C1070" s="196">
        <v>2</v>
      </c>
      <c r="D1070" s="213">
        <v>30</v>
      </c>
      <c r="E1070" s="154">
        <v>125280</v>
      </c>
      <c r="F1070" s="14" t="s">
        <v>636</v>
      </c>
      <c r="G1070" s="15"/>
      <c r="H1070" s="16">
        <v>0</v>
      </c>
      <c r="I1070" s="17">
        <v>788.8</v>
      </c>
      <c r="J1070" s="17"/>
      <c r="K1070" s="17"/>
      <c r="L1070" s="419">
        <f t="shared" si="43"/>
        <v>0</v>
      </c>
      <c r="M1070" s="17"/>
      <c r="N1070" s="129"/>
    </row>
    <row r="1071" spans="1:14" ht="14.25">
      <c r="A1071" t="s">
        <v>1232</v>
      </c>
      <c r="B1071" s="196">
        <v>4</v>
      </c>
      <c r="C1071" s="196">
        <v>2</v>
      </c>
      <c r="D1071" s="213">
        <v>0</v>
      </c>
      <c r="E1071" s="154">
        <v>0</v>
      </c>
      <c r="F1071" s="14" t="s">
        <v>635</v>
      </c>
      <c r="G1071" s="92"/>
      <c r="H1071" s="16">
        <v>0</v>
      </c>
      <c r="I1071" s="17">
        <v>812</v>
      </c>
      <c r="J1071" s="17"/>
      <c r="K1071" s="17"/>
      <c r="L1071" s="419">
        <f t="shared" si="43"/>
        <v>0</v>
      </c>
      <c r="M1071" s="17"/>
      <c r="N1071" s="129"/>
    </row>
    <row r="1072" spans="1:14" ht="14.25">
      <c r="A1072" t="s">
        <v>1232</v>
      </c>
      <c r="B1072" s="196">
        <v>4</v>
      </c>
      <c r="C1072" s="196">
        <v>2</v>
      </c>
      <c r="D1072" s="213">
        <v>0</v>
      </c>
      <c r="E1072" s="154">
        <v>0</v>
      </c>
      <c r="F1072" s="597" t="s">
        <v>414</v>
      </c>
      <c r="G1072" s="92"/>
      <c r="H1072" s="16">
        <v>0</v>
      </c>
      <c r="I1072" s="17">
        <v>638</v>
      </c>
      <c r="J1072" s="17"/>
      <c r="K1072" s="17"/>
      <c r="L1072" s="419">
        <f t="shared" si="43"/>
        <v>0</v>
      </c>
      <c r="M1072" s="17"/>
      <c r="N1072" s="129"/>
    </row>
    <row r="1073" spans="1:14" ht="14.25">
      <c r="A1073" t="s">
        <v>1232</v>
      </c>
      <c r="B1073" s="196">
        <v>4</v>
      </c>
      <c r="C1073" s="196">
        <v>2</v>
      </c>
      <c r="D1073" s="213">
        <v>0</v>
      </c>
      <c r="E1073" s="154">
        <v>0</v>
      </c>
      <c r="F1073" s="112" t="s">
        <v>419</v>
      </c>
      <c r="G1073" s="92"/>
      <c r="H1073" s="16">
        <v>0</v>
      </c>
      <c r="I1073" s="17">
        <v>812</v>
      </c>
      <c r="J1073" s="17"/>
      <c r="K1073" s="17"/>
      <c r="L1073" s="419">
        <f t="shared" si="43"/>
        <v>0</v>
      </c>
      <c r="M1073" s="17"/>
      <c r="N1073" s="129"/>
    </row>
    <row r="1074" spans="1:14" ht="14.25">
      <c r="A1074" t="s">
        <v>1232</v>
      </c>
      <c r="B1074" s="196">
        <v>4</v>
      </c>
      <c r="C1074" s="196">
        <v>2</v>
      </c>
      <c r="D1074" s="213">
        <v>0</v>
      </c>
      <c r="E1074" s="154">
        <v>0</v>
      </c>
      <c r="F1074" s="601" t="s">
        <v>1501</v>
      </c>
      <c r="G1074" s="92" t="s">
        <v>649</v>
      </c>
      <c r="H1074" s="16">
        <v>50</v>
      </c>
      <c r="I1074" s="17">
        <v>4800</v>
      </c>
      <c r="J1074" s="17"/>
      <c r="K1074" s="17"/>
      <c r="L1074" s="419">
        <f t="shared" si="43"/>
        <v>240000</v>
      </c>
      <c r="M1074" s="17"/>
      <c r="N1074" s="129"/>
    </row>
    <row r="1075" spans="1:14" ht="14.25">
      <c r="A1075" t="s">
        <v>1233</v>
      </c>
      <c r="B1075" s="196"/>
      <c r="C1075" s="196"/>
      <c r="D1075" s="213"/>
      <c r="E1075" s="154"/>
      <c r="F1075" s="601" t="s">
        <v>1500</v>
      </c>
      <c r="G1075" s="92" t="s">
        <v>649</v>
      </c>
      <c r="H1075" s="16">
        <v>50</v>
      </c>
      <c r="I1075" s="17">
        <v>4872</v>
      </c>
      <c r="J1075" s="17"/>
      <c r="K1075" s="17"/>
      <c r="L1075" s="419">
        <f t="shared" si="43"/>
        <v>243600</v>
      </c>
      <c r="M1075" s="17"/>
      <c r="N1075" s="129"/>
    </row>
    <row r="1076" spans="1:14" ht="14.25">
      <c r="A1076" t="s">
        <v>1233</v>
      </c>
      <c r="B1076" s="196"/>
      <c r="C1076" s="196"/>
      <c r="D1076" s="213"/>
      <c r="E1076" s="154"/>
      <c r="F1076" s="14" t="s">
        <v>1479</v>
      </c>
      <c r="G1076" s="92" t="s">
        <v>649</v>
      </c>
      <c r="H1076" s="16">
        <v>30</v>
      </c>
      <c r="I1076" s="17">
        <v>4900</v>
      </c>
      <c r="J1076" s="17"/>
      <c r="K1076" s="17"/>
      <c r="L1076" s="419">
        <f t="shared" si="43"/>
        <v>147000</v>
      </c>
      <c r="M1076" s="17"/>
      <c r="N1076" s="129"/>
    </row>
    <row r="1077" spans="1:14" ht="14.25">
      <c r="A1077" t="s">
        <v>1233</v>
      </c>
      <c r="B1077" s="196">
        <v>4</v>
      </c>
      <c r="C1077" s="196">
        <v>2</v>
      </c>
      <c r="D1077" s="213">
        <v>50</v>
      </c>
      <c r="E1077" s="154">
        <v>243600</v>
      </c>
      <c r="F1077" s="14" t="s">
        <v>1480</v>
      </c>
      <c r="G1077" s="92" t="s">
        <v>649</v>
      </c>
      <c r="H1077" s="16">
        <v>20</v>
      </c>
      <c r="I1077" s="17">
        <v>4920</v>
      </c>
      <c r="J1077" s="17"/>
      <c r="K1077" s="17"/>
      <c r="L1077" s="419">
        <f t="shared" si="43"/>
        <v>98400</v>
      </c>
      <c r="M1077" s="17"/>
      <c r="N1077" s="129"/>
    </row>
    <row r="1078" spans="1:14" ht="15">
      <c r="A1078" t="s">
        <v>1233</v>
      </c>
      <c r="B1078" s="196">
        <v>4</v>
      </c>
      <c r="C1078" s="196">
        <v>2</v>
      </c>
      <c r="D1078" s="213">
        <v>0</v>
      </c>
      <c r="E1078" s="154">
        <v>0</v>
      </c>
      <c r="F1078" s="280" t="s">
        <v>675</v>
      </c>
      <c r="G1078" s="279" t="s">
        <v>649</v>
      </c>
      <c r="H1078" s="16"/>
      <c r="I1078" s="17">
        <v>5200</v>
      </c>
      <c r="J1078" s="17"/>
      <c r="K1078" s="17"/>
      <c r="L1078" s="419"/>
      <c r="M1078" s="17"/>
      <c r="N1078" s="129"/>
    </row>
    <row r="1079" spans="1:14" ht="15">
      <c r="A1079" t="s">
        <v>1233</v>
      </c>
      <c r="B1079" s="196">
        <v>4</v>
      </c>
      <c r="C1079" s="196">
        <v>2</v>
      </c>
      <c r="D1079" s="213">
        <v>50</v>
      </c>
      <c r="E1079" s="154">
        <v>240000</v>
      </c>
      <c r="F1079" s="280" t="s">
        <v>676</v>
      </c>
      <c r="G1079" s="279" t="s">
        <v>649</v>
      </c>
      <c r="H1079" s="16"/>
      <c r="I1079" s="17">
        <v>6200</v>
      </c>
      <c r="J1079" s="17"/>
      <c r="K1079" s="17"/>
      <c r="L1079" s="419"/>
      <c r="M1079" s="17"/>
      <c r="N1079" s="129"/>
    </row>
    <row r="1080" spans="1:14" ht="14.25">
      <c r="A1080" t="s">
        <v>1233</v>
      </c>
      <c r="B1080" s="196">
        <v>4</v>
      </c>
      <c r="C1080" s="196">
        <v>2</v>
      </c>
      <c r="D1080" s="213">
        <v>30</v>
      </c>
      <c r="E1080" s="154">
        <v>147000</v>
      </c>
      <c r="F1080" s="2" t="s">
        <v>1478</v>
      </c>
      <c r="G1080" s="92" t="s">
        <v>649</v>
      </c>
      <c r="H1080" s="16">
        <v>35</v>
      </c>
      <c r="I1080" s="17">
        <v>4850</v>
      </c>
      <c r="J1080" s="17"/>
      <c r="K1080" s="17"/>
      <c r="L1080" s="419">
        <f>(H1080*I1080)</f>
        <v>169750</v>
      </c>
      <c r="M1080" s="17"/>
      <c r="N1080" s="129"/>
    </row>
    <row r="1081" spans="1:14" ht="14.25">
      <c r="A1081" t="s">
        <v>1233</v>
      </c>
      <c r="B1081" s="196">
        <v>4</v>
      </c>
      <c r="C1081" s="196">
        <v>2</v>
      </c>
      <c r="D1081" s="213">
        <v>20</v>
      </c>
      <c r="E1081" s="154">
        <v>98400</v>
      </c>
      <c r="F1081" s="2" t="s">
        <v>1477</v>
      </c>
      <c r="G1081" s="92" t="s">
        <v>649</v>
      </c>
      <c r="H1081" s="16">
        <v>35</v>
      </c>
      <c r="I1081" s="17">
        <v>5520</v>
      </c>
      <c r="J1081" s="17"/>
      <c r="K1081" s="17"/>
      <c r="L1081" s="419">
        <f>(H1081*I1081)</f>
        <v>193200</v>
      </c>
      <c r="M1081" s="17"/>
      <c r="N1081" s="129"/>
    </row>
    <row r="1082" spans="1:14" ht="14.25">
      <c r="A1082" t="s">
        <v>1233</v>
      </c>
      <c r="B1082" s="196">
        <v>4</v>
      </c>
      <c r="C1082" s="196">
        <v>2</v>
      </c>
      <c r="D1082" s="213">
        <v>35</v>
      </c>
      <c r="E1082" s="154">
        <v>169750</v>
      </c>
      <c r="F1082" s="14" t="s">
        <v>1476</v>
      </c>
      <c r="G1082" s="15" t="s">
        <v>649</v>
      </c>
      <c r="H1082" s="16">
        <v>35</v>
      </c>
      <c r="I1082" s="17">
        <v>5000</v>
      </c>
      <c r="J1082" s="17"/>
      <c r="K1082" s="17"/>
      <c r="L1082" s="419">
        <f>(H1082*I1082)</f>
        <v>175000</v>
      </c>
      <c r="M1082" s="17"/>
      <c r="N1082" s="129"/>
    </row>
    <row r="1083" spans="1:14" ht="14.25">
      <c r="A1083" t="s">
        <v>1233</v>
      </c>
      <c r="B1083" s="196">
        <v>4</v>
      </c>
      <c r="C1083" s="196">
        <v>2</v>
      </c>
      <c r="D1083" s="213">
        <v>35</v>
      </c>
      <c r="E1083" s="154">
        <v>193200</v>
      </c>
      <c r="F1083" s="14" t="s">
        <v>1475</v>
      </c>
      <c r="G1083" s="68" t="s">
        <v>649</v>
      </c>
      <c r="H1083" s="16">
        <v>35</v>
      </c>
      <c r="I1083" s="17">
        <v>5500</v>
      </c>
      <c r="J1083" s="17"/>
      <c r="K1083" s="17"/>
      <c r="L1083" s="419">
        <f>(H1083*I1083)</f>
        <v>192500</v>
      </c>
      <c r="M1083" s="17"/>
      <c r="N1083" s="129"/>
    </row>
    <row r="1084" spans="1:14" ht="15">
      <c r="A1084" t="s">
        <v>1233</v>
      </c>
      <c r="B1084" s="196"/>
      <c r="C1084" s="196"/>
      <c r="D1084" s="213"/>
      <c r="E1084" s="154"/>
      <c r="F1084" s="667" t="s">
        <v>677</v>
      </c>
      <c r="G1084" s="672" t="s">
        <v>649</v>
      </c>
      <c r="H1084" s="16"/>
      <c r="I1084" s="17">
        <v>5100</v>
      </c>
      <c r="J1084" s="17"/>
      <c r="K1084" s="17"/>
      <c r="L1084" s="419"/>
      <c r="M1084" s="17"/>
      <c r="N1084" s="129"/>
    </row>
    <row r="1085" spans="1:14" ht="14.25">
      <c r="A1085" t="s">
        <v>1233</v>
      </c>
      <c r="B1085" s="196">
        <v>4</v>
      </c>
      <c r="C1085" s="196">
        <v>2</v>
      </c>
      <c r="D1085" s="213">
        <v>35</v>
      </c>
      <c r="E1085" s="233">
        <v>175000</v>
      </c>
      <c r="F1085" s="14" t="s">
        <v>291</v>
      </c>
      <c r="G1085" s="68" t="s">
        <v>649</v>
      </c>
      <c r="H1085" s="16">
        <v>25</v>
      </c>
      <c r="I1085" s="17">
        <v>22000</v>
      </c>
      <c r="J1085" s="17"/>
      <c r="K1085" s="17"/>
      <c r="L1085" s="419">
        <f aca="true" t="shared" si="44" ref="L1085:L1109">(H1085*I1085)</f>
        <v>550000</v>
      </c>
      <c r="M1085" s="17"/>
      <c r="N1085" s="129"/>
    </row>
    <row r="1086" spans="1:14" ht="14.25">
      <c r="A1086" t="s">
        <v>1235</v>
      </c>
      <c r="B1086" s="196">
        <v>5</v>
      </c>
      <c r="C1086" s="196">
        <v>9</v>
      </c>
      <c r="D1086" s="213">
        <v>5</v>
      </c>
      <c r="E1086" s="233">
        <v>93148</v>
      </c>
      <c r="F1086" s="593" t="s">
        <v>342</v>
      </c>
      <c r="G1086" s="670" t="s">
        <v>509</v>
      </c>
      <c r="H1086" s="674">
        <v>5</v>
      </c>
      <c r="I1086" s="17">
        <v>920</v>
      </c>
      <c r="J1086" s="17"/>
      <c r="K1086" s="17"/>
      <c r="L1086" s="419">
        <f t="shared" si="44"/>
        <v>4600</v>
      </c>
      <c r="M1086" s="17"/>
      <c r="N1086" s="129"/>
    </row>
    <row r="1087" spans="1:14" ht="14.25">
      <c r="A1087" t="s">
        <v>1235</v>
      </c>
      <c r="B1087" s="196">
        <v>5</v>
      </c>
      <c r="C1087" s="196">
        <v>9</v>
      </c>
      <c r="D1087" s="213">
        <v>5</v>
      </c>
      <c r="E1087" s="206">
        <v>68393.6</v>
      </c>
      <c r="F1087" s="593" t="s">
        <v>343</v>
      </c>
      <c r="G1087" s="670" t="s">
        <v>509</v>
      </c>
      <c r="H1087" s="674">
        <v>15</v>
      </c>
      <c r="I1087" s="17">
        <v>696</v>
      </c>
      <c r="J1087" s="17"/>
      <c r="K1087" s="17"/>
      <c r="L1087" s="419">
        <f t="shared" si="44"/>
        <v>10440</v>
      </c>
      <c r="M1087" s="17"/>
      <c r="N1087" s="129"/>
    </row>
    <row r="1088" spans="1:14" ht="14.25">
      <c r="A1088" t="s">
        <v>1235</v>
      </c>
      <c r="B1088" s="196">
        <v>5</v>
      </c>
      <c r="C1088" s="196">
        <v>7</v>
      </c>
      <c r="D1088" s="213">
        <v>11</v>
      </c>
      <c r="E1088" s="206">
        <v>10120</v>
      </c>
      <c r="F1088" s="593" t="s">
        <v>344</v>
      </c>
      <c r="G1088" s="670" t="s">
        <v>509</v>
      </c>
      <c r="H1088" s="674">
        <v>15</v>
      </c>
      <c r="I1088" s="17">
        <v>925</v>
      </c>
      <c r="J1088" s="17"/>
      <c r="K1088" s="17"/>
      <c r="L1088" s="419">
        <f t="shared" si="44"/>
        <v>13875</v>
      </c>
      <c r="M1088" s="17"/>
      <c r="N1088" s="129"/>
    </row>
    <row r="1089" spans="1:14" ht="14.25">
      <c r="A1089" t="s">
        <v>1235</v>
      </c>
      <c r="B1089" s="196">
        <v>5</v>
      </c>
      <c r="C1089" s="196">
        <v>7</v>
      </c>
      <c r="D1089" s="213">
        <v>10</v>
      </c>
      <c r="E1089" s="206">
        <v>6960</v>
      </c>
      <c r="F1089" s="593" t="s">
        <v>345</v>
      </c>
      <c r="G1089" s="670" t="s">
        <v>509</v>
      </c>
      <c r="H1089" s="674">
        <v>15</v>
      </c>
      <c r="I1089" s="17">
        <v>930</v>
      </c>
      <c r="J1089" s="17"/>
      <c r="K1089" s="17"/>
      <c r="L1089" s="419">
        <f t="shared" si="44"/>
        <v>13950</v>
      </c>
      <c r="M1089" s="17"/>
      <c r="N1089" s="129"/>
    </row>
    <row r="1090" spans="1:14" ht="14.25">
      <c r="A1090" t="s">
        <v>1235</v>
      </c>
      <c r="B1090" s="196">
        <v>5</v>
      </c>
      <c r="C1090" s="196">
        <v>7</v>
      </c>
      <c r="D1090" s="213">
        <v>10</v>
      </c>
      <c r="E1090" s="206">
        <v>9250</v>
      </c>
      <c r="F1090" s="593" t="s">
        <v>346</v>
      </c>
      <c r="G1090" s="670" t="s">
        <v>509</v>
      </c>
      <c r="H1090" s="623">
        <v>5</v>
      </c>
      <c r="I1090" s="17">
        <v>940</v>
      </c>
      <c r="J1090" s="17"/>
      <c r="K1090" s="17"/>
      <c r="L1090" s="419">
        <f t="shared" si="44"/>
        <v>4700</v>
      </c>
      <c r="M1090" s="17"/>
      <c r="N1090" s="129"/>
    </row>
    <row r="1091" spans="1:14" ht="14.25">
      <c r="A1091" t="s">
        <v>1233</v>
      </c>
      <c r="B1091" s="196">
        <v>4</v>
      </c>
      <c r="C1091" s="196">
        <v>2</v>
      </c>
      <c r="D1091" s="213">
        <v>35</v>
      </c>
      <c r="E1091" s="206">
        <v>192500</v>
      </c>
      <c r="F1091" s="96" t="s">
        <v>1679</v>
      </c>
      <c r="G1091" s="99" t="s">
        <v>1610</v>
      </c>
      <c r="H1091" s="16">
        <v>25</v>
      </c>
      <c r="I1091" s="17">
        <v>13950</v>
      </c>
      <c r="J1091" s="17"/>
      <c r="K1091" s="17"/>
      <c r="L1091" s="419">
        <f t="shared" si="44"/>
        <v>348750</v>
      </c>
      <c r="M1091" s="17"/>
      <c r="N1091" s="129"/>
    </row>
    <row r="1092" spans="1:14" ht="14.25">
      <c r="A1092" t="s">
        <v>1234</v>
      </c>
      <c r="B1092" s="196">
        <v>4</v>
      </c>
      <c r="C1092" s="196">
        <v>2</v>
      </c>
      <c r="D1092" s="213">
        <v>25</v>
      </c>
      <c r="E1092" s="206">
        <v>550000</v>
      </c>
      <c r="F1092" s="94" t="s">
        <v>1677</v>
      </c>
      <c r="G1092" s="95" t="s">
        <v>1610</v>
      </c>
      <c r="H1092" s="16">
        <v>4</v>
      </c>
      <c r="I1092" s="17">
        <v>14000</v>
      </c>
      <c r="J1092" s="17"/>
      <c r="K1092" s="17"/>
      <c r="L1092" s="419">
        <f t="shared" si="44"/>
        <v>56000</v>
      </c>
      <c r="M1092" s="17"/>
      <c r="N1092" s="129"/>
    </row>
    <row r="1093" spans="1:14" ht="14.25">
      <c r="A1093" t="s">
        <v>1234</v>
      </c>
      <c r="B1093" s="196">
        <v>5</v>
      </c>
      <c r="C1093" s="196">
        <v>7</v>
      </c>
      <c r="D1093" s="234">
        <v>25</v>
      </c>
      <c r="E1093" s="206">
        <v>348750</v>
      </c>
      <c r="F1093" s="592" t="s">
        <v>1609</v>
      </c>
      <c r="G1093" s="95" t="s">
        <v>1610</v>
      </c>
      <c r="H1093" s="16">
        <v>4</v>
      </c>
      <c r="I1093" s="17">
        <v>14950</v>
      </c>
      <c r="J1093" s="17"/>
      <c r="K1093" s="17"/>
      <c r="L1093" s="419">
        <f t="shared" si="44"/>
        <v>59800</v>
      </c>
      <c r="M1093" s="17"/>
      <c r="N1093" s="129"/>
    </row>
    <row r="1094" spans="1:14" ht="14.25">
      <c r="A1094" t="s">
        <v>1234</v>
      </c>
      <c r="B1094" s="196">
        <v>5</v>
      </c>
      <c r="C1094" s="196">
        <v>7</v>
      </c>
      <c r="D1094" s="213">
        <v>4</v>
      </c>
      <c r="E1094" s="154">
        <v>56000</v>
      </c>
      <c r="F1094" s="592" t="s">
        <v>1678</v>
      </c>
      <c r="G1094" s="95" t="s">
        <v>1610</v>
      </c>
      <c r="H1094" s="16">
        <v>4</v>
      </c>
      <c r="I1094" s="17">
        <v>15000</v>
      </c>
      <c r="J1094" s="17"/>
      <c r="K1094" s="17"/>
      <c r="L1094" s="419">
        <f t="shared" si="44"/>
        <v>60000</v>
      </c>
      <c r="M1094" s="17"/>
      <c r="N1094" s="129"/>
    </row>
    <row r="1095" spans="1:14" ht="14.25">
      <c r="A1095" t="s">
        <v>1235</v>
      </c>
      <c r="B1095" s="196">
        <v>5</v>
      </c>
      <c r="C1095" s="196">
        <v>7</v>
      </c>
      <c r="D1095" s="213">
        <v>10</v>
      </c>
      <c r="E1095" s="154">
        <v>9700</v>
      </c>
      <c r="F1095" s="592" t="s">
        <v>1174</v>
      </c>
      <c r="G1095" s="671" t="s">
        <v>1610</v>
      </c>
      <c r="H1095" s="629">
        <v>10</v>
      </c>
      <c r="I1095" s="17">
        <v>812</v>
      </c>
      <c r="J1095" s="17"/>
      <c r="K1095" s="17"/>
      <c r="L1095" s="419">
        <f t="shared" si="44"/>
        <v>8120</v>
      </c>
      <c r="M1095" s="17"/>
      <c r="N1095" s="129"/>
    </row>
    <row r="1096" spans="1:14" ht="14.25">
      <c r="A1096" t="s">
        <v>1234</v>
      </c>
      <c r="B1096" s="196">
        <v>5</v>
      </c>
      <c r="C1096" s="196">
        <v>7</v>
      </c>
      <c r="D1096" s="213">
        <v>10</v>
      </c>
      <c r="E1096" s="154">
        <v>9300</v>
      </c>
      <c r="F1096" s="587" t="s">
        <v>347</v>
      </c>
      <c r="G1096" s="614"/>
      <c r="H1096" s="622">
        <v>10</v>
      </c>
      <c r="I1096" s="17">
        <v>970</v>
      </c>
      <c r="J1096" s="17"/>
      <c r="K1096" s="17"/>
      <c r="L1096" s="419">
        <f t="shared" si="44"/>
        <v>9700</v>
      </c>
      <c r="M1096" s="17"/>
      <c r="N1096" s="129"/>
    </row>
    <row r="1097" spans="1:14" ht="14.25">
      <c r="A1097" t="s">
        <v>1234</v>
      </c>
      <c r="B1097" s="196">
        <v>5</v>
      </c>
      <c r="C1097" s="196">
        <v>10</v>
      </c>
      <c r="D1097" s="213">
        <v>4</v>
      </c>
      <c r="E1097" s="154">
        <v>59800</v>
      </c>
      <c r="F1097" s="568" t="s">
        <v>339</v>
      </c>
      <c r="G1097" s="617" t="s">
        <v>1610</v>
      </c>
      <c r="H1097" s="622">
        <v>6</v>
      </c>
      <c r="I1097" s="143">
        <v>2600</v>
      </c>
      <c r="J1097" s="17"/>
      <c r="K1097" s="17"/>
      <c r="L1097" s="419">
        <f t="shared" si="44"/>
        <v>15600</v>
      </c>
      <c r="M1097" s="17"/>
      <c r="N1097" s="129"/>
    </row>
    <row r="1098" spans="1:14" ht="14.25">
      <c r="A1098" t="s">
        <v>1235</v>
      </c>
      <c r="B1098" s="196">
        <v>5</v>
      </c>
      <c r="C1098" s="196">
        <v>7</v>
      </c>
      <c r="D1098" s="213">
        <v>4</v>
      </c>
      <c r="E1098" s="154">
        <v>60000</v>
      </c>
      <c r="F1098" s="568" t="s">
        <v>340</v>
      </c>
      <c r="G1098" s="617" t="s">
        <v>1610</v>
      </c>
      <c r="H1098" s="622">
        <v>20</v>
      </c>
      <c r="I1098" s="143">
        <v>18629.6</v>
      </c>
      <c r="J1098" s="17"/>
      <c r="K1098" s="17"/>
      <c r="L1098" s="419">
        <f t="shared" si="44"/>
        <v>372592</v>
      </c>
      <c r="M1098" s="17"/>
      <c r="N1098" s="129"/>
    </row>
    <row r="1099" spans="1:14" ht="14.25">
      <c r="A1099" t="s">
        <v>1235</v>
      </c>
      <c r="B1099" s="196">
        <v>5</v>
      </c>
      <c r="C1099" s="196">
        <v>7</v>
      </c>
      <c r="D1099" s="213">
        <v>5</v>
      </c>
      <c r="E1099" s="154">
        <v>13000</v>
      </c>
      <c r="F1099" s="568" t="s">
        <v>341</v>
      </c>
      <c r="G1099" s="533" t="s">
        <v>509</v>
      </c>
      <c r="H1099" s="540">
        <v>15</v>
      </c>
      <c r="I1099" s="143">
        <v>13678.72</v>
      </c>
      <c r="J1099" s="17"/>
      <c r="K1099" s="17"/>
      <c r="L1099" s="419">
        <f t="shared" si="44"/>
        <v>205180.8</v>
      </c>
      <c r="M1099" s="17"/>
      <c r="N1099" s="129"/>
    </row>
    <row r="1100" spans="1:14" ht="14.25">
      <c r="A1100" t="s">
        <v>1235</v>
      </c>
      <c r="B1100" s="196">
        <v>5</v>
      </c>
      <c r="C1100" s="196">
        <v>7</v>
      </c>
      <c r="D1100" s="213">
        <v>2</v>
      </c>
      <c r="E1100" s="154">
        <v>22694.24</v>
      </c>
      <c r="F1100" s="599" t="s">
        <v>1168</v>
      </c>
      <c r="G1100" s="615"/>
      <c r="H1100" s="629">
        <v>10</v>
      </c>
      <c r="I1100" s="143">
        <v>2204</v>
      </c>
      <c r="J1100" s="17"/>
      <c r="K1100" s="17"/>
      <c r="L1100" s="419">
        <f t="shared" si="44"/>
        <v>22040</v>
      </c>
      <c r="M1100" s="17"/>
      <c r="N1100" s="129"/>
    </row>
    <row r="1101" spans="1:14" ht="14.25">
      <c r="A1101" t="s">
        <v>1235</v>
      </c>
      <c r="B1101" s="196">
        <v>5</v>
      </c>
      <c r="C1101" s="196">
        <v>7</v>
      </c>
      <c r="D1101" s="213">
        <v>10</v>
      </c>
      <c r="E1101" s="154">
        <v>8120</v>
      </c>
      <c r="F1101" s="594" t="s">
        <v>1432</v>
      </c>
      <c r="G1101" s="15" t="s">
        <v>649</v>
      </c>
      <c r="H1101" s="16">
        <v>10</v>
      </c>
      <c r="I1101" s="143">
        <v>8816</v>
      </c>
      <c r="J1101" s="17"/>
      <c r="K1101" s="17"/>
      <c r="L1101" s="419">
        <f t="shared" si="44"/>
        <v>88160</v>
      </c>
      <c r="M1101" s="17"/>
      <c r="N1101" s="129"/>
    </row>
    <row r="1102" spans="1:14" ht="14.25">
      <c r="A1102" t="s">
        <v>1235</v>
      </c>
      <c r="B1102" s="196">
        <v>5</v>
      </c>
      <c r="C1102" s="196">
        <v>7</v>
      </c>
      <c r="D1102" s="213">
        <v>10</v>
      </c>
      <c r="E1102" s="154">
        <v>22040</v>
      </c>
      <c r="F1102" s="14" t="s">
        <v>1219</v>
      </c>
      <c r="G1102" s="15" t="s">
        <v>649</v>
      </c>
      <c r="H1102" s="16">
        <v>10</v>
      </c>
      <c r="I1102" s="143">
        <v>8816</v>
      </c>
      <c r="J1102" s="17"/>
      <c r="K1102" s="17"/>
      <c r="L1102" s="419">
        <f t="shared" si="44"/>
        <v>88160</v>
      </c>
      <c r="M1102" s="17"/>
      <c r="N1102" s="129"/>
    </row>
    <row r="1103" spans="1:14" ht="14.25">
      <c r="A1103" t="s">
        <v>1235</v>
      </c>
      <c r="B1103" s="196">
        <v>5</v>
      </c>
      <c r="C1103" s="196">
        <v>7</v>
      </c>
      <c r="D1103" s="213">
        <v>10</v>
      </c>
      <c r="E1103" s="154">
        <v>9400</v>
      </c>
      <c r="F1103" s="94" t="s">
        <v>1568</v>
      </c>
      <c r="G1103" s="15"/>
      <c r="H1103" s="16">
        <f>1+1</f>
        <v>2</v>
      </c>
      <c r="I1103" s="143">
        <v>11347.12</v>
      </c>
      <c r="J1103" s="17"/>
      <c r="K1103" s="17"/>
      <c r="L1103" s="419">
        <f t="shared" si="44"/>
        <v>22694.24</v>
      </c>
      <c r="M1103" s="17"/>
      <c r="N1103" s="129"/>
    </row>
    <row r="1104" spans="1:14" ht="15">
      <c r="A1104" t="s">
        <v>1235</v>
      </c>
      <c r="B1104" s="196">
        <v>5</v>
      </c>
      <c r="C1104" s="196">
        <v>7</v>
      </c>
      <c r="D1104" s="213">
        <v>10</v>
      </c>
      <c r="E1104" s="154">
        <v>88160</v>
      </c>
      <c r="F1104" s="86" t="s">
        <v>267</v>
      </c>
      <c r="G1104" s="95" t="s">
        <v>1610</v>
      </c>
      <c r="H1104" s="16">
        <v>10</v>
      </c>
      <c r="I1104" s="282">
        <v>8800</v>
      </c>
      <c r="J1104" s="17"/>
      <c r="K1104" s="17"/>
      <c r="L1104" s="419">
        <f t="shared" si="44"/>
        <v>88000</v>
      </c>
      <c r="M1104" s="17"/>
      <c r="N1104" s="129"/>
    </row>
    <row r="1105" spans="1:14" ht="15">
      <c r="A1105" t="s">
        <v>1235</v>
      </c>
      <c r="B1105" s="196">
        <v>5</v>
      </c>
      <c r="C1105" s="196">
        <v>7</v>
      </c>
      <c r="D1105" s="213">
        <v>10</v>
      </c>
      <c r="E1105" s="154">
        <v>88160</v>
      </c>
      <c r="F1105" s="94" t="s">
        <v>268</v>
      </c>
      <c r="G1105" s="95" t="s">
        <v>1610</v>
      </c>
      <c r="H1105" s="16">
        <v>10</v>
      </c>
      <c r="I1105" s="282">
        <v>8820</v>
      </c>
      <c r="J1105" s="17"/>
      <c r="K1105" s="17"/>
      <c r="L1105" s="419">
        <f t="shared" si="44"/>
        <v>88200</v>
      </c>
      <c r="M1105" s="17"/>
      <c r="N1105" s="129"/>
    </row>
    <row r="1106" spans="1:14" ht="15">
      <c r="A1106" t="s">
        <v>1235</v>
      </c>
      <c r="B1106" s="196">
        <v>5</v>
      </c>
      <c r="C1106" s="196">
        <v>7</v>
      </c>
      <c r="D1106" s="213">
        <v>10</v>
      </c>
      <c r="E1106" s="154">
        <v>88000</v>
      </c>
      <c r="F1106" s="86" t="s">
        <v>269</v>
      </c>
      <c r="G1106" s="87" t="s">
        <v>1610</v>
      </c>
      <c r="H1106" s="16">
        <v>10</v>
      </c>
      <c r="I1106" s="282">
        <v>8700</v>
      </c>
      <c r="J1106" s="17"/>
      <c r="K1106" s="17"/>
      <c r="L1106" s="419">
        <f t="shared" si="44"/>
        <v>87000</v>
      </c>
      <c r="M1106" s="17"/>
      <c r="N1106" s="129"/>
    </row>
    <row r="1107" spans="1:14" ht="14.25">
      <c r="A1107" t="s">
        <v>1235</v>
      </c>
      <c r="B1107" s="196">
        <v>5</v>
      </c>
      <c r="C1107" s="196">
        <v>7</v>
      </c>
      <c r="D1107" s="213">
        <v>10</v>
      </c>
      <c r="E1107" s="154">
        <v>88200</v>
      </c>
      <c r="F1107" s="597" t="s">
        <v>411</v>
      </c>
      <c r="G1107" s="15"/>
      <c r="H1107" s="16">
        <v>10</v>
      </c>
      <c r="I1107" s="143">
        <v>684.4</v>
      </c>
      <c r="J1107" s="17"/>
      <c r="K1107" s="17"/>
      <c r="L1107" s="419">
        <f t="shared" si="44"/>
        <v>6844</v>
      </c>
      <c r="M1107" s="17"/>
      <c r="N1107" s="129"/>
    </row>
    <row r="1108" spans="1:14" ht="14.25">
      <c r="A1108" t="s">
        <v>1088</v>
      </c>
      <c r="B1108" s="196">
        <v>5</v>
      </c>
      <c r="C1108" s="196">
        <v>4</v>
      </c>
      <c r="D1108" s="118">
        <v>10</v>
      </c>
      <c r="E1108" s="197">
        <v>79460</v>
      </c>
      <c r="F1108" s="597" t="s">
        <v>410</v>
      </c>
      <c r="G1108" s="95"/>
      <c r="H1108" s="16">
        <v>12</v>
      </c>
      <c r="I1108" s="121">
        <v>58</v>
      </c>
      <c r="J1108" s="17"/>
      <c r="K1108" s="17"/>
      <c r="L1108" s="419">
        <f t="shared" si="44"/>
        <v>696</v>
      </c>
      <c r="M1108" s="17"/>
      <c r="N1108" s="129"/>
    </row>
    <row r="1109" spans="1:14" ht="14.25">
      <c r="A1109" t="s">
        <v>1236</v>
      </c>
      <c r="B1109" s="196">
        <v>5</v>
      </c>
      <c r="C1109" s="196">
        <v>7</v>
      </c>
      <c r="D1109" s="213">
        <v>10</v>
      </c>
      <c r="E1109" s="154">
        <v>87000</v>
      </c>
      <c r="F1109" s="2" t="s">
        <v>1012</v>
      </c>
      <c r="G1109" s="92" t="s">
        <v>761</v>
      </c>
      <c r="H1109" s="16">
        <v>20</v>
      </c>
      <c r="I1109" s="143">
        <v>4500</v>
      </c>
      <c r="J1109" s="17"/>
      <c r="K1109" s="17"/>
      <c r="L1109" s="419">
        <f t="shared" si="44"/>
        <v>90000</v>
      </c>
      <c r="M1109" s="17"/>
      <c r="N1109" s="129"/>
    </row>
    <row r="1110" spans="1:14" ht="15">
      <c r="A1110" t="s">
        <v>1081</v>
      </c>
      <c r="B1110" s="196">
        <v>4</v>
      </c>
      <c r="C1110" s="196">
        <v>2</v>
      </c>
      <c r="D1110" s="118">
        <v>15</v>
      </c>
      <c r="E1110" s="197">
        <v>450000</v>
      </c>
      <c r="F1110" s="661" t="s">
        <v>760</v>
      </c>
      <c r="G1110" s="669" t="s">
        <v>761</v>
      </c>
      <c r="H1110" s="299">
        <v>240</v>
      </c>
      <c r="I1110" s="276">
        <v>2258.98</v>
      </c>
      <c r="J1110" s="36">
        <v>1154.2</v>
      </c>
      <c r="K1110" s="39">
        <v>306820</v>
      </c>
      <c r="L1110" s="419">
        <f>H1110*I1110</f>
        <v>542155.2</v>
      </c>
      <c r="M1110" s="17"/>
      <c r="N1110" s="129"/>
    </row>
    <row r="1111" spans="1:14" ht="14.25">
      <c r="A1111" t="s">
        <v>1629</v>
      </c>
      <c r="B1111" s="196">
        <v>4</v>
      </c>
      <c r="C1111" s="196">
        <v>2</v>
      </c>
      <c r="D1111" s="118">
        <v>10</v>
      </c>
      <c r="E1111" s="154">
        <v>6844</v>
      </c>
      <c r="F1111" s="608" t="s">
        <v>335</v>
      </c>
      <c r="G1111" s="87" t="s">
        <v>1610</v>
      </c>
      <c r="H1111" s="118">
        <v>30</v>
      </c>
      <c r="I1111" s="135">
        <v>5568</v>
      </c>
      <c r="J1111" s="17"/>
      <c r="K1111" s="17"/>
      <c r="L1111" s="419">
        <f aca="true" t="shared" si="45" ref="L1111:L1122">(H1111*I1111)</f>
        <v>167040</v>
      </c>
      <c r="M1111" s="17"/>
      <c r="N1111" s="129"/>
    </row>
    <row r="1112" spans="1:14" ht="14.25">
      <c r="A1112" t="s">
        <v>1629</v>
      </c>
      <c r="B1112" s="196">
        <v>4</v>
      </c>
      <c r="C1112" s="196">
        <v>2</v>
      </c>
      <c r="D1112" s="118">
        <v>20</v>
      </c>
      <c r="E1112" s="197">
        <v>90000</v>
      </c>
      <c r="F1112" s="564" t="s">
        <v>336</v>
      </c>
      <c r="G1112" s="95" t="s">
        <v>1610</v>
      </c>
      <c r="H1112" s="16">
        <v>30</v>
      </c>
      <c r="I1112" s="135">
        <v>29000</v>
      </c>
      <c r="J1112" s="17"/>
      <c r="K1112" s="17"/>
      <c r="L1112" s="419">
        <f t="shared" si="45"/>
        <v>870000</v>
      </c>
      <c r="M1112" s="17"/>
      <c r="N1112" s="129"/>
    </row>
    <row r="1113" spans="1:14" ht="14.25">
      <c r="A1113" t="s">
        <v>1629</v>
      </c>
      <c r="B1113" s="196">
        <v>4</v>
      </c>
      <c r="C1113" s="196">
        <v>2</v>
      </c>
      <c r="D1113" s="118">
        <v>12</v>
      </c>
      <c r="E1113" s="197">
        <v>66816</v>
      </c>
      <c r="F1113" s="564" t="s">
        <v>337</v>
      </c>
      <c r="G1113" s="95" t="s">
        <v>1610</v>
      </c>
      <c r="H1113" s="16">
        <v>30</v>
      </c>
      <c r="I1113" s="135">
        <v>30000</v>
      </c>
      <c r="J1113" s="17"/>
      <c r="K1113" s="17"/>
      <c r="L1113" s="419">
        <f t="shared" si="45"/>
        <v>900000</v>
      </c>
      <c r="M1113" s="17"/>
      <c r="N1113" s="129"/>
    </row>
    <row r="1114" spans="1:14" ht="14.25">
      <c r="A1114" t="s">
        <v>1629</v>
      </c>
      <c r="B1114" s="196">
        <v>4</v>
      </c>
      <c r="C1114" s="196">
        <v>2</v>
      </c>
      <c r="D1114" s="118">
        <v>10</v>
      </c>
      <c r="E1114" s="197">
        <v>290000</v>
      </c>
      <c r="F1114" s="564" t="s">
        <v>338</v>
      </c>
      <c r="G1114" s="95" t="s">
        <v>442</v>
      </c>
      <c r="H1114" s="16">
        <v>30</v>
      </c>
      <c r="I1114" s="135">
        <v>3190</v>
      </c>
      <c r="J1114" s="17"/>
      <c r="K1114" s="17"/>
      <c r="L1114" s="419">
        <f t="shared" si="45"/>
        <v>95700</v>
      </c>
      <c r="M1114" s="17"/>
      <c r="N1114" s="129"/>
    </row>
    <row r="1115" spans="1:14" ht="14.25">
      <c r="A1115" t="s">
        <v>911</v>
      </c>
      <c r="B1115" s="196">
        <v>1</v>
      </c>
      <c r="C1115" s="196">
        <v>2</v>
      </c>
      <c r="D1115" s="207">
        <v>240</v>
      </c>
      <c r="E1115" s="154">
        <v>542155.2</v>
      </c>
      <c r="F1115" s="665" t="s">
        <v>418</v>
      </c>
      <c r="G1115" s="95"/>
      <c r="H1115" s="118">
        <v>10</v>
      </c>
      <c r="I1115" s="135">
        <v>7946</v>
      </c>
      <c r="J1115" s="17"/>
      <c r="K1115" s="17"/>
      <c r="L1115" s="419">
        <f t="shared" si="45"/>
        <v>79460</v>
      </c>
      <c r="M1115" s="17"/>
      <c r="N1115" s="129"/>
    </row>
    <row r="1116" spans="2:14" ht="14.25">
      <c r="B1116" s="196">
        <v>4</v>
      </c>
      <c r="C1116" s="196">
        <v>2</v>
      </c>
      <c r="D1116" s="118">
        <v>30</v>
      </c>
      <c r="E1116" s="197">
        <v>95700</v>
      </c>
      <c r="F1116" s="406" t="s">
        <v>631</v>
      </c>
      <c r="G1116" s="95"/>
      <c r="H1116" s="229">
        <v>10</v>
      </c>
      <c r="I1116" s="135">
        <v>7946</v>
      </c>
      <c r="J1116" s="17"/>
      <c r="K1116" s="17"/>
      <c r="L1116" s="419">
        <f t="shared" si="45"/>
        <v>79460</v>
      </c>
      <c r="M1116" s="17"/>
      <c r="N1116" s="129"/>
    </row>
    <row r="1117" spans="1:14" ht="14.25">
      <c r="A1117" t="s">
        <v>1239</v>
      </c>
      <c r="B1117" s="196">
        <v>5</v>
      </c>
      <c r="C1117" s="196">
        <v>7</v>
      </c>
      <c r="D1117" s="118">
        <v>5</v>
      </c>
      <c r="E1117" s="220">
        <v>4750</v>
      </c>
      <c r="F1117" s="86" t="s">
        <v>1242</v>
      </c>
      <c r="G1117" s="95" t="s">
        <v>5</v>
      </c>
      <c r="H1117" s="118">
        <v>14</v>
      </c>
      <c r="I1117" s="675">
        <v>980</v>
      </c>
      <c r="J1117" s="17"/>
      <c r="K1117" s="17"/>
      <c r="L1117" s="419">
        <f t="shared" si="45"/>
        <v>13720</v>
      </c>
      <c r="M1117" s="17"/>
      <c r="N1117" s="129"/>
    </row>
    <row r="1118" spans="1:14" ht="14.25">
      <c r="A1118" t="s">
        <v>1239</v>
      </c>
      <c r="B1118" s="196">
        <v>5</v>
      </c>
      <c r="C1118" s="196">
        <v>9</v>
      </c>
      <c r="D1118" s="118">
        <v>20</v>
      </c>
      <c r="E1118" s="226">
        <v>19200</v>
      </c>
      <c r="F1118" s="596" t="s">
        <v>1240</v>
      </c>
      <c r="G1118" s="95" t="s">
        <v>5</v>
      </c>
      <c r="H1118" s="118">
        <v>10</v>
      </c>
      <c r="I1118" s="675">
        <v>980</v>
      </c>
      <c r="J1118" s="17"/>
      <c r="K1118" s="17"/>
      <c r="L1118" s="419">
        <f t="shared" si="45"/>
        <v>9800</v>
      </c>
      <c r="M1118" s="17"/>
      <c r="N1118" s="129"/>
    </row>
    <row r="1119" spans="1:14" ht="14.25">
      <c r="A1119" t="s">
        <v>1239</v>
      </c>
      <c r="B1119" s="196">
        <v>5</v>
      </c>
      <c r="C1119" s="196">
        <v>9</v>
      </c>
      <c r="D1119" s="118">
        <v>14</v>
      </c>
      <c r="E1119" s="220">
        <v>13720</v>
      </c>
      <c r="F1119" s="596" t="s">
        <v>1241</v>
      </c>
      <c r="G1119" s="95" t="s">
        <v>5</v>
      </c>
      <c r="H1119" s="118">
        <v>10</v>
      </c>
      <c r="I1119" s="675">
        <v>990</v>
      </c>
      <c r="J1119" s="17"/>
      <c r="K1119" s="17"/>
      <c r="L1119" s="419">
        <f t="shared" si="45"/>
        <v>9900</v>
      </c>
      <c r="M1119" s="17"/>
      <c r="N1119" s="129"/>
    </row>
    <row r="1120" spans="1:14" ht="14.25">
      <c r="A1120" t="s">
        <v>1239</v>
      </c>
      <c r="B1120" s="196">
        <v>5</v>
      </c>
      <c r="C1120" s="196">
        <v>7</v>
      </c>
      <c r="D1120" s="118">
        <v>10</v>
      </c>
      <c r="E1120" s="220">
        <v>9800</v>
      </c>
      <c r="F1120" s="94" t="s">
        <v>1243</v>
      </c>
      <c r="G1120" s="95" t="s">
        <v>5</v>
      </c>
      <c r="H1120" s="118">
        <v>10</v>
      </c>
      <c r="I1120" s="122">
        <v>995</v>
      </c>
      <c r="J1120" s="17"/>
      <c r="K1120" s="17"/>
      <c r="L1120" s="419">
        <f t="shared" si="45"/>
        <v>9950</v>
      </c>
      <c r="M1120" s="17"/>
      <c r="N1120" s="129"/>
    </row>
    <row r="1121" spans="1:14" ht="14.25">
      <c r="A1121" t="s">
        <v>1239</v>
      </c>
      <c r="B1121" s="196">
        <v>5</v>
      </c>
      <c r="C1121" s="196">
        <v>7</v>
      </c>
      <c r="D1121" s="118">
        <v>10</v>
      </c>
      <c r="E1121" s="220">
        <v>9900</v>
      </c>
      <c r="F1121" s="596" t="s">
        <v>1244</v>
      </c>
      <c r="G1121" s="87" t="s">
        <v>5</v>
      </c>
      <c r="H1121" s="118">
        <v>10</v>
      </c>
      <c r="I1121" s="152">
        <v>990</v>
      </c>
      <c r="J1121" s="17"/>
      <c r="K1121" s="17"/>
      <c r="L1121" s="419">
        <f t="shared" si="45"/>
        <v>9900</v>
      </c>
      <c r="M1121" s="17"/>
      <c r="N1121" s="129"/>
    </row>
    <row r="1122" spans="1:14" ht="14.25">
      <c r="A1122" t="s">
        <v>1239</v>
      </c>
      <c r="B1122" s="196">
        <v>5</v>
      </c>
      <c r="C1122" s="196">
        <v>7</v>
      </c>
      <c r="D1122" s="118">
        <v>10</v>
      </c>
      <c r="E1122" s="220">
        <v>9950</v>
      </c>
      <c r="F1122" s="596" t="s">
        <v>1245</v>
      </c>
      <c r="G1122" s="87" t="s">
        <v>5</v>
      </c>
      <c r="H1122" s="118">
        <v>10</v>
      </c>
      <c r="I1122" s="152">
        <v>800</v>
      </c>
      <c r="J1122" s="17"/>
      <c r="K1122" s="17"/>
      <c r="L1122" s="419">
        <f t="shared" si="45"/>
        <v>8000</v>
      </c>
      <c r="M1122" s="17"/>
      <c r="N1122" s="129"/>
    </row>
    <row r="1123" spans="1:14" ht="14.25">
      <c r="A1123" t="s">
        <v>1237</v>
      </c>
      <c r="B1123" s="196">
        <v>5</v>
      </c>
      <c r="C1123" s="196">
        <v>4</v>
      </c>
      <c r="D1123" s="118">
        <v>10</v>
      </c>
      <c r="E1123" s="197">
        <v>79460</v>
      </c>
      <c r="F1123" s="596" t="s">
        <v>17</v>
      </c>
      <c r="G1123" s="92"/>
      <c r="H1123" s="16"/>
      <c r="I1123" s="676"/>
      <c r="J1123" s="17"/>
      <c r="K1123" s="17"/>
      <c r="L1123" s="419"/>
      <c r="M1123" s="17"/>
      <c r="N1123" s="129"/>
    </row>
    <row r="1124" spans="1:14" ht="14.25">
      <c r="A1124" t="s">
        <v>1238</v>
      </c>
      <c r="B1124" s="196">
        <v>4</v>
      </c>
      <c r="C1124" s="196">
        <v>2</v>
      </c>
      <c r="D1124" s="118">
        <v>20</v>
      </c>
      <c r="E1124" s="154">
        <v>916400</v>
      </c>
      <c r="F1124" s="112" t="s">
        <v>408</v>
      </c>
      <c r="G1124" s="614"/>
      <c r="H1124" s="622">
        <v>5</v>
      </c>
      <c r="I1124" s="113">
        <v>99296</v>
      </c>
      <c r="J1124" s="17"/>
      <c r="K1124" s="17"/>
      <c r="L1124" s="419">
        <f aca="true" t="shared" si="46" ref="L1124:L1132">(H1124*I1124)</f>
        <v>496480</v>
      </c>
      <c r="M1124" s="17"/>
      <c r="N1124" s="129"/>
    </row>
    <row r="1125" spans="1:14" ht="14.25">
      <c r="A1125" t="s">
        <v>1238</v>
      </c>
      <c r="B1125" s="196">
        <v>5</v>
      </c>
      <c r="C1125" s="196">
        <v>4</v>
      </c>
      <c r="D1125" s="118"/>
      <c r="E1125" s="154"/>
      <c r="F1125" s="663" t="s">
        <v>375</v>
      </c>
      <c r="G1125" s="614"/>
      <c r="H1125" s="622">
        <v>5</v>
      </c>
      <c r="I1125" s="677">
        <v>112636</v>
      </c>
      <c r="J1125" s="17"/>
      <c r="K1125" s="17"/>
      <c r="L1125" s="419">
        <f t="shared" si="46"/>
        <v>563180</v>
      </c>
      <c r="M1125" s="17"/>
      <c r="N1125" s="129"/>
    </row>
    <row r="1126" spans="1:14" ht="15">
      <c r="A1126" t="s">
        <v>1646</v>
      </c>
      <c r="B1126" s="196">
        <v>4</v>
      </c>
      <c r="C1126" s="196">
        <v>2</v>
      </c>
      <c r="D1126" s="118">
        <v>5</v>
      </c>
      <c r="E1126" s="154">
        <v>563180</v>
      </c>
      <c r="F1126" s="663" t="s">
        <v>409</v>
      </c>
      <c r="G1126" s="652" t="s">
        <v>1645</v>
      </c>
      <c r="H1126" s="626">
        <v>50</v>
      </c>
      <c r="I1126" s="677">
        <v>160358.4</v>
      </c>
      <c r="J1126" s="17"/>
      <c r="K1126" s="17"/>
      <c r="L1126" s="419">
        <f t="shared" si="46"/>
        <v>8017920</v>
      </c>
      <c r="M1126" s="17"/>
      <c r="N1126" s="129"/>
    </row>
    <row r="1127" spans="1:14" ht="14.25">
      <c r="A1127" t="s">
        <v>1238</v>
      </c>
      <c r="B1127" s="196">
        <v>5</v>
      </c>
      <c r="C1127" s="196">
        <v>4</v>
      </c>
      <c r="D1127" s="118">
        <v>12</v>
      </c>
      <c r="E1127" s="197">
        <v>696</v>
      </c>
      <c r="F1127" s="597" t="s">
        <v>372</v>
      </c>
      <c r="G1127" s="92"/>
      <c r="H1127" s="16">
        <v>20</v>
      </c>
      <c r="I1127" s="113">
        <v>45820</v>
      </c>
      <c r="J1127" s="17"/>
      <c r="K1127" s="17"/>
      <c r="L1127" s="419">
        <f t="shared" si="46"/>
        <v>916400</v>
      </c>
      <c r="M1127" s="17"/>
      <c r="N1127" s="129"/>
    </row>
    <row r="1128" spans="1:14" ht="15">
      <c r="A1128" t="s">
        <v>1646</v>
      </c>
      <c r="B1128" s="196">
        <v>4</v>
      </c>
      <c r="C1128" s="196">
        <v>2</v>
      </c>
      <c r="D1128" s="118">
        <v>5</v>
      </c>
      <c r="E1128" s="154">
        <v>496480</v>
      </c>
      <c r="F1128" s="664" t="s">
        <v>1647</v>
      </c>
      <c r="G1128" s="652" t="s">
        <v>1645</v>
      </c>
      <c r="H1128" s="626">
        <v>50</v>
      </c>
      <c r="I1128" s="136">
        <v>950</v>
      </c>
      <c r="J1128" s="17"/>
      <c r="K1128" s="17"/>
      <c r="L1128" s="419">
        <f t="shared" si="46"/>
        <v>47500</v>
      </c>
      <c r="M1128" s="17"/>
      <c r="N1128" s="129"/>
    </row>
    <row r="1129" spans="1:14" ht="15">
      <c r="A1129" t="s">
        <v>1239</v>
      </c>
      <c r="B1129" s="196">
        <v>4</v>
      </c>
      <c r="C1129" s="196">
        <v>2</v>
      </c>
      <c r="D1129" s="118">
        <v>5</v>
      </c>
      <c r="E1129" s="154">
        <v>801792</v>
      </c>
      <c r="F1129" s="600" t="s">
        <v>1648</v>
      </c>
      <c r="G1129" s="95" t="s">
        <v>5</v>
      </c>
      <c r="H1129" s="118">
        <v>20</v>
      </c>
      <c r="I1129" s="136">
        <v>960</v>
      </c>
      <c r="J1129" s="17"/>
      <c r="K1129" s="17"/>
      <c r="L1129" s="419">
        <f t="shared" si="46"/>
        <v>19200</v>
      </c>
      <c r="M1129" s="17"/>
      <c r="N1129" s="129"/>
    </row>
    <row r="1130" spans="1:14" ht="14.25">
      <c r="A1130" t="s">
        <v>1246</v>
      </c>
      <c r="B1130" s="196">
        <v>5</v>
      </c>
      <c r="C1130" s="196">
        <v>7</v>
      </c>
      <c r="D1130" s="118">
        <v>10</v>
      </c>
      <c r="E1130" s="220">
        <v>9900</v>
      </c>
      <c r="F1130" s="86" t="s">
        <v>1111</v>
      </c>
      <c r="G1130" s="139"/>
      <c r="H1130" s="118">
        <v>100</v>
      </c>
      <c r="I1130" s="136">
        <v>1044</v>
      </c>
      <c r="J1130" s="17"/>
      <c r="K1130" s="17"/>
      <c r="L1130" s="419">
        <f t="shared" si="46"/>
        <v>104400</v>
      </c>
      <c r="M1130" s="17"/>
      <c r="N1130" s="129"/>
    </row>
    <row r="1131" spans="1:14" ht="14.25">
      <c r="A1131" t="s">
        <v>117</v>
      </c>
      <c r="B1131" s="196"/>
      <c r="C1131" s="196"/>
      <c r="D1131" s="118">
        <v>150</v>
      </c>
      <c r="E1131" s="220">
        <v>72000</v>
      </c>
      <c r="F1131" s="83" t="s">
        <v>632</v>
      </c>
      <c r="G1131" s="296" t="s">
        <v>509</v>
      </c>
      <c r="H1131" s="623">
        <v>8</v>
      </c>
      <c r="I1131" s="17">
        <v>13166</v>
      </c>
      <c r="J1131" s="17"/>
      <c r="K1131" s="17"/>
      <c r="L1131" s="419">
        <f t="shared" si="46"/>
        <v>105328</v>
      </c>
      <c r="M1131" s="17"/>
      <c r="N1131" s="129"/>
    </row>
    <row r="1132" spans="1:14" ht="14.25">
      <c r="A1132" t="s">
        <v>1271</v>
      </c>
      <c r="B1132" s="196">
        <v>5</v>
      </c>
      <c r="C1132" s="196">
        <v>7</v>
      </c>
      <c r="D1132" s="118">
        <v>5</v>
      </c>
      <c r="E1132" s="197">
        <v>15138</v>
      </c>
      <c r="F1132" s="14" t="s">
        <v>1040</v>
      </c>
      <c r="G1132" s="15" t="s">
        <v>649</v>
      </c>
      <c r="H1132" s="16">
        <v>0</v>
      </c>
      <c r="I1132" s="17">
        <v>4517.04</v>
      </c>
      <c r="J1132" s="17"/>
      <c r="K1132" s="17"/>
      <c r="L1132" s="419">
        <f t="shared" si="46"/>
        <v>0</v>
      </c>
      <c r="M1132" s="17"/>
      <c r="N1132" s="129"/>
    </row>
    <row r="1133" spans="2:14" ht="14.25">
      <c r="B1133" s="196"/>
      <c r="C1133" s="196"/>
      <c r="D1133" s="118">
        <v>20</v>
      </c>
      <c r="E1133" s="197">
        <v>67000</v>
      </c>
      <c r="F1133" s="406" t="s">
        <v>1272</v>
      </c>
      <c r="G1133" s="92"/>
      <c r="H1133" s="16"/>
      <c r="I1133" s="17"/>
      <c r="J1133" s="17"/>
      <c r="K1133" s="17"/>
      <c r="L1133" s="419"/>
      <c r="M1133" s="17"/>
      <c r="N1133" s="129"/>
    </row>
    <row r="1134" spans="1:14" ht="14.25">
      <c r="A1134" t="s">
        <v>1466</v>
      </c>
      <c r="B1134" s="196">
        <v>5</v>
      </c>
      <c r="C1134" s="196">
        <v>7</v>
      </c>
      <c r="D1134" s="118">
        <v>0</v>
      </c>
      <c r="E1134" s="197">
        <v>0</v>
      </c>
      <c r="F1134" s="406" t="s">
        <v>213</v>
      </c>
      <c r="G1134" s="92"/>
      <c r="H1134" s="16"/>
      <c r="I1134" s="17"/>
      <c r="J1134" s="17"/>
      <c r="K1134" s="17"/>
      <c r="L1134" s="419"/>
      <c r="M1134" s="17"/>
      <c r="N1134" s="129"/>
    </row>
    <row r="1135" spans="1:14" ht="15">
      <c r="A1135" t="s">
        <v>1229</v>
      </c>
      <c r="B1135" s="196"/>
      <c r="C1135" s="196"/>
      <c r="D1135" s="213"/>
      <c r="E1135" s="197">
        <v>41003003</v>
      </c>
      <c r="F1135" s="33" t="s">
        <v>849</v>
      </c>
      <c r="G1135" s="668" t="s">
        <v>850</v>
      </c>
      <c r="H1135" s="673">
        <v>50</v>
      </c>
      <c r="I1135" s="36">
        <v>1999</v>
      </c>
      <c r="J1135" s="39">
        <v>195750</v>
      </c>
      <c r="K1135" s="17">
        <f>J1135*6%</f>
        <v>11745</v>
      </c>
      <c r="L1135" s="423">
        <f aca="true" t="shared" si="47" ref="L1135:L1142">(H1135*I1135)</f>
        <v>99950</v>
      </c>
      <c r="M1135" s="104"/>
      <c r="N1135" s="129"/>
    </row>
    <row r="1136" spans="1:14" ht="14.25">
      <c r="A1136" t="s">
        <v>1229</v>
      </c>
      <c r="B1136" s="196"/>
      <c r="C1136" s="196"/>
      <c r="D1136" s="213"/>
      <c r="E1136" s="197">
        <v>41003003</v>
      </c>
      <c r="F1136" s="662" t="s">
        <v>1182</v>
      </c>
      <c r="G1136" s="668"/>
      <c r="H1136" s="673">
        <v>60</v>
      </c>
      <c r="I1136" s="36">
        <v>1218</v>
      </c>
      <c r="J1136" s="39">
        <v>195750</v>
      </c>
      <c r="K1136" s="17">
        <f>J1136*6%</f>
        <v>11745</v>
      </c>
      <c r="L1136" s="423">
        <f t="shared" si="47"/>
        <v>73080</v>
      </c>
      <c r="M1136" s="126"/>
      <c r="N1136" s="129"/>
    </row>
    <row r="1137" spans="1:14" ht="14.25">
      <c r="A1137" t="s">
        <v>1229</v>
      </c>
      <c r="B1137" s="196">
        <v>5</v>
      </c>
      <c r="C1137" s="196">
        <v>7</v>
      </c>
      <c r="D1137" s="118">
        <v>5</v>
      </c>
      <c r="E1137" s="203">
        <v>23200</v>
      </c>
      <c r="F1137" s="599" t="s">
        <v>1188</v>
      </c>
      <c r="G1137" s="614" t="s">
        <v>649</v>
      </c>
      <c r="H1137" s="622">
        <v>20</v>
      </c>
      <c r="I1137" s="17">
        <v>3350</v>
      </c>
      <c r="J1137" s="17"/>
      <c r="K1137" s="17"/>
      <c r="L1137" s="419">
        <f t="shared" si="47"/>
        <v>67000</v>
      </c>
      <c r="M1137" s="17"/>
      <c r="N1137" s="129"/>
    </row>
    <row r="1138" spans="1:14" ht="14.25">
      <c r="A1138" t="s">
        <v>1229</v>
      </c>
      <c r="B1138" s="196"/>
      <c r="C1138" s="196"/>
      <c r="D1138" s="659">
        <v>60</v>
      </c>
      <c r="E1138" s="221">
        <v>73080</v>
      </c>
      <c r="F1138" s="662" t="s">
        <v>69</v>
      </c>
      <c r="G1138" s="15" t="s">
        <v>649</v>
      </c>
      <c r="H1138" s="38">
        <v>4</v>
      </c>
      <c r="I1138" s="36">
        <v>31850</v>
      </c>
      <c r="J1138" s="39"/>
      <c r="K1138" s="17"/>
      <c r="L1138" s="423">
        <f t="shared" si="47"/>
        <v>127400</v>
      </c>
      <c r="M1138" s="126"/>
      <c r="N1138" s="129"/>
    </row>
    <row r="1139" spans="1:14" ht="14.25">
      <c r="A1139" t="s">
        <v>1229</v>
      </c>
      <c r="B1139" s="196">
        <v>1</v>
      </c>
      <c r="C1139" s="196">
        <v>3</v>
      </c>
      <c r="D1139" s="659">
        <v>50</v>
      </c>
      <c r="E1139" s="221">
        <v>99950</v>
      </c>
      <c r="F1139" s="33" t="s">
        <v>916</v>
      </c>
      <c r="G1139" s="37" t="s">
        <v>850</v>
      </c>
      <c r="H1139" s="38">
        <v>60</v>
      </c>
      <c r="I1139" s="36">
        <v>2920.3</v>
      </c>
      <c r="J1139" s="39">
        <v>137750</v>
      </c>
      <c r="K1139" s="17">
        <f>J1139*6%</f>
        <v>8265</v>
      </c>
      <c r="L1139" s="423">
        <f t="shared" si="47"/>
        <v>175218</v>
      </c>
      <c r="M1139" s="126"/>
      <c r="N1139" s="129"/>
    </row>
    <row r="1140" spans="1:14" ht="14.25">
      <c r="A1140" t="s">
        <v>117</v>
      </c>
      <c r="B1140" s="196">
        <v>5</v>
      </c>
      <c r="C1140" s="196">
        <v>7</v>
      </c>
      <c r="D1140" s="224">
        <v>2</v>
      </c>
      <c r="E1140" s="154">
        <v>76000</v>
      </c>
      <c r="F1140" s="593" t="s">
        <v>332</v>
      </c>
      <c r="G1140" s="296" t="s">
        <v>509</v>
      </c>
      <c r="H1140" s="623">
        <v>8</v>
      </c>
      <c r="I1140" s="17">
        <v>2018.4</v>
      </c>
      <c r="J1140" s="17"/>
      <c r="K1140" s="17"/>
      <c r="L1140" s="419">
        <f t="shared" si="47"/>
        <v>16147.2</v>
      </c>
      <c r="M1140" s="17"/>
      <c r="N1140" s="129"/>
    </row>
    <row r="1141" spans="1:14" ht="14.25">
      <c r="A1141" t="s">
        <v>117</v>
      </c>
      <c r="B1141" s="196">
        <v>4</v>
      </c>
      <c r="C1141" s="196">
        <v>2</v>
      </c>
      <c r="D1141" s="224">
        <v>2</v>
      </c>
      <c r="E1141" s="154">
        <v>26332</v>
      </c>
      <c r="F1141" s="593" t="s">
        <v>333</v>
      </c>
      <c r="G1141" s="296" t="s">
        <v>509</v>
      </c>
      <c r="H1141" s="623">
        <v>8</v>
      </c>
      <c r="I1141" s="17">
        <v>3027.6</v>
      </c>
      <c r="J1141" s="17"/>
      <c r="K1141" s="17"/>
      <c r="L1141" s="419">
        <f t="shared" si="47"/>
        <v>24220.8</v>
      </c>
      <c r="M1141" s="17"/>
      <c r="N1141" s="129"/>
    </row>
    <row r="1142" spans="1:14" ht="14.25">
      <c r="A1142" t="s">
        <v>117</v>
      </c>
      <c r="B1142" s="196">
        <v>5</v>
      </c>
      <c r="C1142" s="196">
        <v>7</v>
      </c>
      <c r="D1142" s="120">
        <v>10</v>
      </c>
      <c r="E1142" s="197">
        <v>20184</v>
      </c>
      <c r="F1142" s="593" t="s">
        <v>334</v>
      </c>
      <c r="G1142" s="95" t="s">
        <v>1610</v>
      </c>
      <c r="H1142" s="16">
        <v>5</v>
      </c>
      <c r="I1142" s="17">
        <v>4640</v>
      </c>
      <c r="J1142" s="17"/>
      <c r="K1142" s="17"/>
      <c r="L1142" s="419">
        <f t="shared" si="47"/>
        <v>23200</v>
      </c>
      <c r="M1142" s="17"/>
      <c r="N1142" s="129"/>
    </row>
    <row r="1143" spans="1:14" ht="14.25">
      <c r="A1143" t="s">
        <v>1248</v>
      </c>
      <c r="B1143" s="196">
        <v>4</v>
      </c>
      <c r="C1143" s="196">
        <v>2</v>
      </c>
      <c r="D1143" s="120"/>
      <c r="E1143" s="197"/>
      <c r="F1143" s="94" t="s">
        <v>154</v>
      </c>
      <c r="G1143" s="95"/>
      <c r="H1143" s="16"/>
      <c r="I1143" s="17"/>
      <c r="J1143" s="17"/>
      <c r="K1143" s="17"/>
      <c r="L1143" s="419"/>
      <c r="M1143" s="17"/>
      <c r="N1143" s="129"/>
    </row>
    <row r="1144" spans="1:14" ht="14.25">
      <c r="A1144" t="s">
        <v>1249</v>
      </c>
      <c r="B1144" s="196"/>
      <c r="C1144" s="196"/>
      <c r="D1144" s="120"/>
      <c r="E1144" s="203"/>
      <c r="F1144" s="94" t="s">
        <v>1337</v>
      </c>
      <c r="G1144" s="87"/>
      <c r="H1144" s="16">
        <v>0</v>
      </c>
      <c r="I1144" s="17">
        <v>603.2</v>
      </c>
      <c r="J1144" s="17"/>
      <c r="K1144" s="17"/>
      <c r="L1144" s="419">
        <f aca="true" t="shared" si="48" ref="L1144:L1158">(H1144*I1144)</f>
        <v>0</v>
      </c>
      <c r="M1144" s="17"/>
      <c r="N1144" s="129"/>
    </row>
    <row r="1145" spans="1:14" ht="14.25">
      <c r="A1145" t="s">
        <v>1250</v>
      </c>
      <c r="B1145" s="196">
        <v>4</v>
      </c>
      <c r="C1145" s="196">
        <v>2</v>
      </c>
      <c r="D1145" s="213">
        <v>200</v>
      </c>
      <c r="E1145" s="206">
        <v>986000</v>
      </c>
      <c r="F1145" s="14" t="s">
        <v>1302</v>
      </c>
      <c r="G1145" s="92" t="s">
        <v>649</v>
      </c>
      <c r="H1145" s="16">
        <v>40</v>
      </c>
      <c r="I1145" s="17">
        <v>2128.2</v>
      </c>
      <c r="J1145" s="17"/>
      <c r="K1145" s="17"/>
      <c r="L1145" s="419">
        <f t="shared" si="48"/>
        <v>85128</v>
      </c>
      <c r="M1145" s="17"/>
      <c r="N1145" s="129"/>
    </row>
    <row r="1146" spans="1:14" ht="14.25">
      <c r="A1146" t="s">
        <v>1250</v>
      </c>
      <c r="B1146" s="196">
        <v>4</v>
      </c>
      <c r="C1146" s="196">
        <v>2</v>
      </c>
      <c r="D1146" s="224">
        <v>40</v>
      </c>
      <c r="E1146" s="206">
        <v>132289.6</v>
      </c>
      <c r="F1146" s="14" t="s">
        <v>1303</v>
      </c>
      <c r="G1146" s="92" t="s">
        <v>649</v>
      </c>
      <c r="H1146" s="16">
        <v>40</v>
      </c>
      <c r="I1146" s="17">
        <v>3520.37</v>
      </c>
      <c r="J1146" s="17"/>
      <c r="K1146" s="17"/>
      <c r="L1146" s="419">
        <f t="shared" si="48"/>
        <v>140814.8</v>
      </c>
      <c r="M1146" s="17"/>
      <c r="N1146" s="129"/>
    </row>
    <row r="1147" spans="1:14" ht="14.25">
      <c r="A1147" t="s">
        <v>1250</v>
      </c>
      <c r="B1147" s="196">
        <v>5</v>
      </c>
      <c r="C1147" s="196">
        <v>7</v>
      </c>
      <c r="D1147" s="120"/>
      <c r="E1147" s="206"/>
      <c r="F1147" s="97" t="s">
        <v>1389</v>
      </c>
      <c r="G1147" s="87" t="s">
        <v>1384</v>
      </c>
      <c r="H1147" s="16">
        <v>200</v>
      </c>
      <c r="I1147" s="17">
        <v>3300</v>
      </c>
      <c r="J1147" s="17"/>
      <c r="K1147" s="17"/>
      <c r="L1147" s="419">
        <f t="shared" si="48"/>
        <v>660000</v>
      </c>
      <c r="M1147" s="17"/>
      <c r="N1147" s="129"/>
    </row>
    <row r="1148" spans="1:14" ht="14.25">
      <c r="A1148" t="s">
        <v>1250</v>
      </c>
      <c r="B1148" s="196"/>
      <c r="C1148" s="196"/>
      <c r="D1148" s="120">
        <v>0</v>
      </c>
      <c r="E1148" s="206">
        <v>0</v>
      </c>
      <c r="F1148" s="97" t="s">
        <v>1391</v>
      </c>
      <c r="G1148" s="87" t="s">
        <v>1384</v>
      </c>
      <c r="H1148" s="16">
        <v>200</v>
      </c>
      <c r="I1148" s="17">
        <v>3100</v>
      </c>
      <c r="J1148" s="17"/>
      <c r="K1148" s="17"/>
      <c r="L1148" s="419">
        <f t="shared" si="48"/>
        <v>620000</v>
      </c>
      <c r="M1148" s="17"/>
      <c r="N1148" s="129"/>
    </row>
    <row r="1149" spans="1:14" ht="14.25">
      <c r="A1149" t="s">
        <v>1250</v>
      </c>
      <c r="B1149" s="196">
        <v>5</v>
      </c>
      <c r="C1149" s="196">
        <v>7</v>
      </c>
      <c r="D1149" s="224">
        <v>200</v>
      </c>
      <c r="E1149" s="206">
        <v>660000</v>
      </c>
      <c r="F1149" s="97" t="s">
        <v>1388</v>
      </c>
      <c r="G1149" s="87" t="s">
        <v>1384</v>
      </c>
      <c r="H1149" s="16">
        <v>10</v>
      </c>
      <c r="I1149" s="17">
        <v>3350</v>
      </c>
      <c r="J1149" s="17"/>
      <c r="K1149" s="17"/>
      <c r="L1149" s="419">
        <f t="shared" si="48"/>
        <v>33500</v>
      </c>
      <c r="M1149" s="17"/>
      <c r="N1149" s="129"/>
    </row>
    <row r="1150" spans="1:14" ht="14.25">
      <c r="A1150" t="s">
        <v>1250</v>
      </c>
      <c r="B1150" s="196">
        <v>4</v>
      </c>
      <c r="C1150" s="196">
        <v>2</v>
      </c>
      <c r="D1150" s="224">
        <v>200</v>
      </c>
      <c r="E1150" s="206">
        <v>620000</v>
      </c>
      <c r="F1150" s="97" t="s">
        <v>1387</v>
      </c>
      <c r="G1150" s="87" t="s">
        <v>1384</v>
      </c>
      <c r="H1150" s="16">
        <v>200</v>
      </c>
      <c r="I1150" s="17">
        <v>3350</v>
      </c>
      <c r="J1150" s="17"/>
      <c r="K1150" s="17"/>
      <c r="L1150" s="419">
        <f t="shared" si="48"/>
        <v>670000</v>
      </c>
      <c r="M1150" s="17"/>
      <c r="N1150" s="129"/>
    </row>
    <row r="1151" spans="1:14" ht="14.25">
      <c r="A1151" t="s">
        <v>1250</v>
      </c>
      <c r="B1151" s="196">
        <v>4</v>
      </c>
      <c r="C1151" s="196">
        <v>2</v>
      </c>
      <c r="D1151" s="224">
        <v>10</v>
      </c>
      <c r="E1151" s="206">
        <v>33500</v>
      </c>
      <c r="F1151" s="97" t="s">
        <v>1392</v>
      </c>
      <c r="G1151" s="87" t="s">
        <v>1384</v>
      </c>
      <c r="H1151" s="16">
        <v>40</v>
      </c>
      <c r="I1151" s="17">
        <v>3100</v>
      </c>
      <c r="J1151" s="17"/>
      <c r="K1151" s="17"/>
      <c r="L1151" s="419">
        <f t="shared" si="48"/>
        <v>124000</v>
      </c>
      <c r="M1151" s="17"/>
      <c r="N1151" s="129"/>
    </row>
    <row r="1152" spans="1:14" ht="14.25">
      <c r="A1152" t="s">
        <v>1250</v>
      </c>
      <c r="B1152" s="196">
        <v>4</v>
      </c>
      <c r="C1152" s="196">
        <v>2</v>
      </c>
      <c r="D1152" s="224">
        <v>200</v>
      </c>
      <c r="E1152" s="206">
        <v>670000</v>
      </c>
      <c r="F1152" s="97" t="s">
        <v>1390</v>
      </c>
      <c r="G1152" s="87" t="s">
        <v>1384</v>
      </c>
      <c r="H1152" s="16">
        <v>200</v>
      </c>
      <c r="I1152" s="17">
        <v>3004</v>
      </c>
      <c r="J1152" s="17"/>
      <c r="K1152" s="17"/>
      <c r="L1152" s="419">
        <f t="shared" si="48"/>
        <v>600800</v>
      </c>
      <c r="M1152" s="17"/>
      <c r="N1152" s="129"/>
    </row>
    <row r="1153" spans="1:14" ht="14.25">
      <c r="A1153" t="s">
        <v>1250</v>
      </c>
      <c r="B1153" s="196">
        <v>4</v>
      </c>
      <c r="C1153" s="196">
        <v>2</v>
      </c>
      <c r="D1153" s="224">
        <v>40</v>
      </c>
      <c r="E1153" s="206">
        <v>124000</v>
      </c>
      <c r="F1153" s="97" t="s">
        <v>1386</v>
      </c>
      <c r="G1153" s="95" t="s">
        <v>1384</v>
      </c>
      <c r="H1153" s="16">
        <v>200</v>
      </c>
      <c r="I1153" s="17">
        <v>3200</v>
      </c>
      <c r="J1153" s="17"/>
      <c r="K1153" s="17"/>
      <c r="L1153" s="419">
        <f t="shared" si="48"/>
        <v>640000</v>
      </c>
      <c r="M1153" s="17"/>
      <c r="N1153" s="129"/>
    </row>
    <row r="1154" spans="1:14" ht="14.25">
      <c r="A1154" t="s">
        <v>1250</v>
      </c>
      <c r="B1154" s="196">
        <v>4</v>
      </c>
      <c r="C1154" s="196">
        <v>2</v>
      </c>
      <c r="D1154" s="224">
        <v>200</v>
      </c>
      <c r="E1154" s="206">
        <v>600800</v>
      </c>
      <c r="F1154" s="14" t="s">
        <v>1304</v>
      </c>
      <c r="G1154" s="15" t="s">
        <v>649</v>
      </c>
      <c r="H1154" s="16">
        <v>40</v>
      </c>
      <c r="I1154" s="17">
        <v>2552</v>
      </c>
      <c r="J1154" s="17"/>
      <c r="K1154" s="17"/>
      <c r="L1154" s="419">
        <f t="shared" si="48"/>
        <v>102080</v>
      </c>
      <c r="M1154" s="17"/>
      <c r="N1154" s="129"/>
    </row>
    <row r="1155" spans="1:14" ht="14.25">
      <c r="A1155" t="s">
        <v>1250</v>
      </c>
      <c r="B1155" s="196">
        <v>4</v>
      </c>
      <c r="C1155" s="196">
        <v>2</v>
      </c>
      <c r="D1155" s="224">
        <v>200</v>
      </c>
      <c r="E1155" s="206">
        <v>640000</v>
      </c>
      <c r="F1155" s="14" t="s">
        <v>1305</v>
      </c>
      <c r="G1155" s="15" t="s">
        <v>649</v>
      </c>
      <c r="H1155" s="16">
        <v>200</v>
      </c>
      <c r="I1155" s="17">
        <v>4930</v>
      </c>
      <c r="J1155" s="17"/>
      <c r="K1155" s="17"/>
      <c r="L1155" s="419">
        <f t="shared" si="48"/>
        <v>986000</v>
      </c>
      <c r="M1155" s="17"/>
      <c r="N1155" s="129"/>
    </row>
    <row r="1156" spans="1:14" ht="14.25">
      <c r="A1156" t="s">
        <v>1250</v>
      </c>
      <c r="B1156" s="196">
        <v>4</v>
      </c>
      <c r="C1156" s="196">
        <v>2</v>
      </c>
      <c r="D1156" s="224">
        <v>40</v>
      </c>
      <c r="E1156" s="206">
        <v>102080</v>
      </c>
      <c r="F1156" s="14" t="s">
        <v>1306</v>
      </c>
      <c r="G1156" s="92" t="s">
        <v>649</v>
      </c>
      <c r="H1156" s="16">
        <v>40</v>
      </c>
      <c r="I1156" s="17">
        <v>3307.24</v>
      </c>
      <c r="J1156" s="17"/>
      <c r="K1156" s="17"/>
      <c r="L1156" s="419">
        <f t="shared" si="48"/>
        <v>132289.59999999998</v>
      </c>
      <c r="M1156" s="17"/>
      <c r="N1156" s="129"/>
    </row>
    <row r="1157" spans="1:14" ht="14.25">
      <c r="A1157" t="s">
        <v>1250</v>
      </c>
      <c r="B1157" s="196">
        <v>4</v>
      </c>
      <c r="C1157" s="196">
        <v>2</v>
      </c>
      <c r="D1157" s="224">
        <v>40</v>
      </c>
      <c r="E1157" s="206">
        <v>85128</v>
      </c>
      <c r="F1157" s="14" t="s">
        <v>1307</v>
      </c>
      <c r="G1157" s="15" t="s">
        <v>649</v>
      </c>
      <c r="H1157" s="16">
        <v>20</v>
      </c>
      <c r="I1157" s="17">
        <v>3190</v>
      </c>
      <c r="J1157" s="17"/>
      <c r="K1157" s="17"/>
      <c r="L1157" s="419">
        <f t="shared" si="48"/>
        <v>63800</v>
      </c>
      <c r="M1157" s="17"/>
      <c r="N1157" s="129"/>
    </row>
    <row r="1158" spans="1:14" ht="14.25">
      <c r="A1158" t="s">
        <v>1250</v>
      </c>
      <c r="B1158" s="196">
        <v>4</v>
      </c>
      <c r="C1158" s="196">
        <v>2</v>
      </c>
      <c r="D1158" s="224">
        <v>40</v>
      </c>
      <c r="E1158" s="206">
        <v>140814.8</v>
      </c>
      <c r="F1158" s="14" t="s">
        <v>1308</v>
      </c>
      <c r="G1158" s="15" t="s">
        <v>649</v>
      </c>
      <c r="H1158" s="16">
        <v>20</v>
      </c>
      <c r="I1158" s="17">
        <v>4582</v>
      </c>
      <c r="J1158" s="17"/>
      <c r="K1158" s="17"/>
      <c r="L1158" s="419">
        <f t="shared" si="48"/>
        <v>91640</v>
      </c>
      <c r="M1158" s="17"/>
      <c r="N1158" s="129"/>
    </row>
    <row r="1159" spans="2:15" ht="15">
      <c r="B1159" s="196">
        <v>4</v>
      </c>
      <c r="C1159" s="196">
        <v>2</v>
      </c>
      <c r="D1159" s="224">
        <v>20</v>
      </c>
      <c r="E1159" s="206">
        <v>63800</v>
      </c>
      <c r="F1159" s="72" t="s">
        <v>873</v>
      </c>
      <c r="G1159" s="15"/>
      <c r="H1159" s="16" t="s">
        <v>1368</v>
      </c>
      <c r="I1159" s="70"/>
      <c r="J1159" s="17"/>
      <c r="K1159" s="17"/>
      <c r="L1159" s="419">
        <f>21739387.66-8894510.2</f>
        <v>12844877.46</v>
      </c>
      <c r="M1159" s="17"/>
      <c r="N1159" s="129"/>
      <c r="O1159" s="286">
        <f>L1043-51003003</f>
        <v>0</v>
      </c>
    </row>
    <row r="1160" spans="2:14" ht="14.25">
      <c r="B1160" s="196">
        <v>4</v>
      </c>
      <c r="C1160" s="196">
        <v>2</v>
      </c>
      <c r="D1160" s="224">
        <v>20</v>
      </c>
      <c r="E1160" s="206">
        <v>91640</v>
      </c>
      <c r="F1160" s="14"/>
      <c r="G1160" s="15"/>
      <c r="H1160" s="16"/>
      <c r="I1160" s="70"/>
      <c r="J1160" s="17"/>
      <c r="K1160" s="17"/>
      <c r="L1160" s="419" t="s">
        <v>1368</v>
      </c>
      <c r="M1160" s="17"/>
      <c r="N1160" s="129"/>
    </row>
    <row r="1161" spans="2:15" ht="18">
      <c r="B1161" s="196"/>
      <c r="C1161" s="196"/>
      <c r="D1161" s="224" t="s">
        <v>1368</v>
      </c>
      <c r="E1161" s="233">
        <v>27896255.86</v>
      </c>
      <c r="F1161" s="750" t="s">
        <v>1309</v>
      </c>
      <c r="G1161" s="49"/>
      <c r="H1161" s="50"/>
      <c r="I1161" s="51"/>
      <c r="J1161" s="51"/>
      <c r="K1161" s="51"/>
      <c r="L1161" s="431">
        <f>L1178</f>
        <v>65441777</v>
      </c>
      <c r="M1161" s="17"/>
      <c r="N1161" s="129"/>
      <c r="O1161" s="286">
        <f>13721590-L1161</f>
        <v>-51720187</v>
      </c>
    </row>
    <row r="1162" spans="1:14" ht="15.75">
      <c r="A1162" t="s">
        <v>1251</v>
      </c>
      <c r="B1162" s="196"/>
      <c r="C1162" s="196"/>
      <c r="D1162" s="213"/>
      <c r="E1162" s="154"/>
      <c r="F1162" s="250" t="s">
        <v>1310</v>
      </c>
      <c r="G1162" s="52"/>
      <c r="H1162" s="53"/>
      <c r="I1162" s="54"/>
      <c r="J1162" s="54"/>
      <c r="K1162" s="54"/>
      <c r="L1162" s="432">
        <v>30000000</v>
      </c>
      <c r="M1162" s="51"/>
      <c r="N1162" s="129"/>
    </row>
    <row r="1163" spans="1:14" ht="15.75">
      <c r="A1163" t="s">
        <v>1253</v>
      </c>
      <c r="B1163" s="196">
        <v>5</v>
      </c>
      <c r="C1163" s="196">
        <v>3</v>
      </c>
      <c r="D1163" s="85"/>
      <c r="E1163" s="197">
        <v>859531</v>
      </c>
      <c r="F1163" s="14" t="s">
        <v>1273</v>
      </c>
      <c r="G1163" s="15"/>
      <c r="H1163" s="16"/>
      <c r="I1163" s="17"/>
      <c r="J1163" s="17"/>
      <c r="K1163" s="17"/>
      <c r="L1163" s="419"/>
      <c r="M1163" s="17"/>
      <c r="N1163" s="329"/>
    </row>
    <row r="1164" spans="1:19" ht="15.75">
      <c r="A1164" t="s">
        <v>1252</v>
      </c>
      <c r="B1164" s="196"/>
      <c r="C1164" s="196"/>
      <c r="D1164" s="235"/>
      <c r="E1164" s="197">
        <v>21204438</v>
      </c>
      <c r="F1164" s="14" t="s">
        <v>1311</v>
      </c>
      <c r="G1164" s="92" t="s">
        <v>642</v>
      </c>
      <c r="H1164" s="16"/>
      <c r="I1164" s="17"/>
      <c r="J1164" s="17"/>
      <c r="K1164" s="17"/>
      <c r="L1164" s="419">
        <v>859531</v>
      </c>
      <c r="M1164" s="249"/>
      <c r="N1164" s="330"/>
      <c r="S1164" t="s">
        <v>506</v>
      </c>
    </row>
    <row r="1165" spans="1:14" ht="15.75">
      <c r="A1165" t="s">
        <v>401</v>
      </c>
      <c r="B1165" s="196"/>
      <c r="C1165" s="196"/>
      <c r="D1165" s="236"/>
      <c r="E1165" s="197">
        <v>10000000</v>
      </c>
      <c r="F1165" s="14" t="s">
        <v>1190</v>
      </c>
      <c r="G1165" s="92"/>
      <c r="H1165" s="16">
        <v>10</v>
      </c>
      <c r="I1165" s="17">
        <v>3248</v>
      </c>
      <c r="J1165" s="17"/>
      <c r="K1165" s="17"/>
      <c r="L1165" s="419">
        <f>(H1165*I1165)</f>
        <v>32480</v>
      </c>
      <c r="M1165" s="17"/>
      <c r="N1165" s="129"/>
    </row>
    <row r="1166" spans="1:19" ht="14.25">
      <c r="A1166" t="s">
        <v>1255</v>
      </c>
      <c r="B1166" s="196">
        <v>5</v>
      </c>
      <c r="C1166" s="196">
        <v>7</v>
      </c>
      <c r="D1166" s="85">
        <v>10</v>
      </c>
      <c r="E1166" s="197">
        <v>445242.6</v>
      </c>
      <c r="F1166" s="14" t="s">
        <v>1275</v>
      </c>
      <c r="G1166" s="15"/>
      <c r="H1166" s="16"/>
      <c r="I1166" s="17"/>
      <c r="J1166" s="17"/>
      <c r="K1166" s="17"/>
      <c r="L1166" s="419"/>
      <c r="M1166" s="17"/>
      <c r="N1166" s="129"/>
      <c r="O1166" t="s">
        <v>1368</v>
      </c>
      <c r="Q1166" s="513">
        <v>2</v>
      </c>
      <c r="R1166" s="513">
        <v>2500</v>
      </c>
      <c r="S1166" s="513">
        <f>+R1166*Q1166</f>
        <v>5000</v>
      </c>
    </row>
    <row r="1167" spans="1:14" ht="14.25">
      <c r="A1167" t="s">
        <v>723</v>
      </c>
      <c r="B1167" s="196">
        <v>5</v>
      </c>
      <c r="C1167" s="196">
        <v>7</v>
      </c>
      <c r="D1167" s="85">
        <v>10</v>
      </c>
      <c r="E1167" s="197">
        <v>2088000</v>
      </c>
      <c r="F1167" s="14" t="s">
        <v>1149</v>
      </c>
      <c r="G1167" s="15"/>
      <c r="H1167" s="16"/>
      <c r="I1167" s="17"/>
      <c r="J1167" s="17"/>
      <c r="K1167" s="17"/>
      <c r="L1167" s="419"/>
      <c r="M1167" s="17"/>
      <c r="N1167" s="129"/>
    </row>
    <row r="1168" spans="1:14" ht="14.25">
      <c r="A1168" t="s">
        <v>1253</v>
      </c>
      <c r="B1168" s="196"/>
      <c r="C1168" s="196"/>
      <c r="D1168" s="85">
        <v>10</v>
      </c>
      <c r="E1168" s="197">
        <v>32480</v>
      </c>
      <c r="F1168" s="14" t="s">
        <v>1312</v>
      </c>
      <c r="G1168" s="15" t="s">
        <v>642</v>
      </c>
      <c r="H1168" s="16">
        <v>10</v>
      </c>
      <c r="I1168" s="17">
        <v>208800</v>
      </c>
      <c r="J1168" s="17"/>
      <c r="K1168" s="17"/>
      <c r="L1168" s="419">
        <f>I1168*H1168</f>
        <v>2088000</v>
      </c>
      <c r="M1168" s="17"/>
      <c r="N1168" s="129"/>
    </row>
    <row r="1169" spans="1:14" ht="14.25">
      <c r="A1169" t="s">
        <v>1254</v>
      </c>
      <c r="B1169" s="196"/>
      <c r="C1169" s="196"/>
      <c r="D1169" s="85"/>
      <c r="E1169" s="197"/>
      <c r="F1169" s="14" t="s">
        <v>1313</v>
      </c>
      <c r="G1169" s="15" t="s">
        <v>642</v>
      </c>
      <c r="H1169" s="16">
        <v>10</v>
      </c>
      <c r="I1169" s="17">
        <v>44524.26</v>
      </c>
      <c r="J1169" s="17"/>
      <c r="K1169" s="17"/>
      <c r="L1169" s="419">
        <f>I1169*H1169</f>
        <v>445242.60000000003</v>
      </c>
      <c r="M1169" s="17"/>
      <c r="N1169" s="129"/>
    </row>
    <row r="1170" spans="1:14" ht="14.25">
      <c r="A1170" t="s">
        <v>1257</v>
      </c>
      <c r="B1170" s="196"/>
      <c r="C1170" s="196"/>
      <c r="D1170" s="85"/>
      <c r="E1170" s="197"/>
      <c r="F1170" s="14" t="s">
        <v>730</v>
      </c>
      <c r="G1170" s="15" t="s">
        <v>727</v>
      </c>
      <c r="H1170" s="16">
        <v>30</v>
      </c>
      <c r="I1170" s="17">
        <v>2500</v>
      </c>
      <c r="J1170" s="17"/>
      <c r="K1170" s="17"/>
      <c r="L1170" s="419">
        <f>H1170*I1170</f>
        <v>75000</v>
      </c>
      <c r="M1170" s="17"/>
      <c r="N1170" s="129"/>
    </row>
    <row r="1171" spans="1:14" ht="14.25">
      <c r="A1171" t="s">
        <v>1256</v>
      </c>
      <c r="B1171" s="196"/>
      <c r="C1171" s="196"/>
      <c r="D1171" s="85"/>
      <c r="E1171" s="197"/>
      <c r="F1171" s="14" t="s">
        <v>1314</v>
      </c>
      <c r="G1171" s="15" t="s">
        <v>727</v>
      </c>
      <c r="H1171" s="16">
        <v>10</v>
      </c>
      <c r="I1171" s="17">
        <v>25520</v>
      </c>
      <c r="J1171" s="17"/>
      <c r="K1171" s="17"/>
      <c r="L1171" s="419">
        <f>I1171*H1171</f>
        <v>255200</v>
      </c>
      <c r="M1171" s="17"/>
      <c r="N1171" s="129"/>
    </row>
    <row r="1172" spans="2:14" ht="14.25">
      <c r="B1172" s="196"/>
      <c r="C1172" s="196"/>
      <c r="D1172" s="85"/>
      <c r="E1172" s="197"/>
      <c r="F1172" s="14" t="s">
        <v>1315</v>
      </c>
      <c r="G1172" s="15" t="s">
        <v>642</v>
      </c>
      <c r="H1172" s="16">
        <v>35</v>
      </c>
      <c r="I1172" s="17">
        <v>56840</v>
      </c>
      <c r="J1172" s="17"/>
      <c r="K1172" s="17"/>
      <c r="L1172" s="419">
        <f>I1172*H1172</f>
        <v>1989400</v>
      </c>
      <c r="M1172" s="17"/>
      <c r="N1172" s="129"/>
    </row>
    <row r="1173" spans="2:14" ht="14.25">
      <c r="B1173" s="196">
        <v>5</v>
      </c>
      <c r="C1173" s="196">
        <v>7</v>
      </c>
      <c r="D1173" s="85">
        <v>10</v>
      </c>
      <c r="E1173" s="197">
        <v>255200</v>
      </c>
      <c r="F1173" s="14" t="s">
        <v>1048</v>
      </c>
      <c r="G1173" s="15"/>
      <c r="H1173" s="16">
        <v>15</v>
      </c>
      <c r="I1173" s="676">
        <v>65000</v>
      </c>
      <c r="J1173" s="17"/>
      <c r="K1173" s="17"/>
      <c r="L1173" s="419">
        <f>H1173*I1173</f>
        <v>975000</v>
      </c>
      <c r="M1173" s="17"/>
      <c r="N1173" s="129"/>
    </row>
    <row r="1174" spans="1:14" ht="14.25">
      <c r="A1174" t="s">
        <v>1258</v>
      </c>
      <c r="B1174" s="196">
        <v>5</v>
      </c>
      <c r="C1174" s="196">
        <v>7</v>
      </c>
      <c r="D1174" s="85">
        <v>30</v>
      </c>
      <c r="E1174" s="197">
        <v>75000</v>
      </c>
      <c r="F1174" s="14" t="s">
        <v>1276</v>
      </c>
      <c r="G1174" s="15"/>
      <c r="H1174" s="16"/>
      <c r="I1174" s="678">
        <v>8500</v>
      </c>
      <c r="J1174" s="17"/>
      <c r="K1174" s="17"/>
      <c r="L1174" s="419"/>
      <c r="M1174" s="17"/>
      <c r="N1174" s="129"/>
    </row>
    <row r="1175" spans="1:14" ht="14.25">
      <c r="A1175" t="s">
        <v>1259</v>
      </c>
      <c r="B1175" s="196"/>
      <c r="C1175" s="196"/>
      <c r="D1175" s="85">
        <v>15</v>
      </c>
      <c r="E1175" s="197">
        <v>975000</v>
      </c>
      <c r="F1175" s="14" t="s">
        <v>739</v>
      </c>
      <c r="G1175" s="15" t="s">
        <v>642</v>
      </c>
      <c r="H1175" s="16">
        <v>40</v>
      </c>
      <c r="I1175" s="17">
        <v>500</v>
      </c>
      <c r="J1175" s="17"/>
      <c r="K1175" s="17"/>
      <c r="L1175" s="419">
        <f>I1175*H1175</f>
        <v>20000</v>
      </c>
      <c r="M1175" s="17"/>
      <c r="N1175" s="129"/>
    </row>
    <row r="1176" spans="1:14" ht="14.25">
      <c r="A1176" t="s">
        <v>723</v>
      </c>
      <c r="B1176" s="196">
        <v>5</v>
      </c>
      <c r="C1176" s="196">
        <v>7</v>
      </c>
      <c r="D1176" s="85">
        <v>40</v>
      </c>
      <c r="E1176" s="197">
        <v>20000</v>
      </c>
      <c r="F1176" s="256" t="s">
        <v>1274</v>
      </c>
      <c r="G1176" s="15"/>
      <c r="H1176" s="140"/>
      <c r="I1176" s="142"/>
      <c r="J1176" s="142"/>
      <c r="K1176" s="142"/>
      <c r="L1176" s="419"/>
      <c r="M1176" s="17"/>
      <c r="N1176" s="129"/>
    </row>
    <row r="1177" spans="2:14" ht="14.25">
      <c r="B1177" s="196">
        <v>5</v>
      </c>
      <c r="C1177" s="196">
        <v>7</v>
      </c>
      <c r="D1177" s="85">
        <v>35</v>
      </c>
      <c r="E1177" s="197">
        <v>1989400</v>
      </c>
      <c r="F1177" s="256" t="s">
        <v>1047</v>
      </c>
      <c r="G1177" s="15" t="s">
        <v>642</v>
      </c>
      <c r="H1177" s="140">
        <v>495</v>
      </c>
      <c r="I1177" s="142">
        <v>84848.49</v>
      </c>
      <c r="J1177" s="142"/>
      <c r="K1177" s="142"/>
      <c r="L1177" s="419">
        <f>I1177*H1177</f>
        <v>42000002.550000004</v>
      </c>
      <c r="M1177" s="17"/>
      <c r="N1177" s="129"/>
    </row>
    <row r="1178" spans="2:14" ht="15" thickBot="1">
      <c r="B1178" s="262"/>
      <c r="C1178" s="263"/>
      <c r="D1178" s="264"/>
      <c r="E1178" s="265"/>
      <c r="F1178" s="20" t="s">
        <v>1316</v>
      </c>
      <c r="G1178" s="21"/>
      <c r="H1178" s="22"/>
      <c r="I1178" s="23"/>
      <c r="J1178" s="23"/>
      <c r="K1178" s="23"/>
      <c r="L1178" s="433">
        <v>65441777</v>
      </c>
      <c r="M1178" s="17"/>
      <c r="N1178" s="129"/>
    </row>
    <row r="1179" spans="2:14" ht="15.75">
      <c r="B1179" s="262"/>
      <c r="C1179" s="263"/>
      <c r="D1179" s="264">
        <v>1</v>
      </c>
      <c r="E1179" s="265">
        <v>22085000</v>
      </c>
      <c r="F1179" s="55" t="s">
        <v>703</v>
      </c>
      <c r="G1179" s="56"/>
      <c r="H1179" s="57"/>
      <c r="I1179" s="58"/>
      <c r="J1179" s="58"/>
      <c r="K1179" s="58"/>
      <c r="L1179" s="434">
        <f>SUM(L1163:L1178)</f>
        <v>114181633.15</v>
      </c>
      <c r="M1179" s="17"/>
      <c r="N1179" s="129" t="s">
        <v>1368</v>
      </c>
    </row>
    <row r="1180" spans="2:14" ht="16.5" thickBot="1">
      <c r="B1180" s="237"/>
      <c r="C1180" s="238"/>
      <c r="D1180" s="200"/>
      <c r="E1180" s="239">
        <v>4791627.7</v>
      </c>
      <c r="F1180" s="25"/>
      <c r="G1180" s="26"/>
      <c r="I1180" s="28"/>
      <c r="J1180" s="28"/>
      <c r="K1180" s="28"/>
      <c r="L1180" s="28"/>
      <c r="M1180" s="447"/>
      <c r="N1180" s="129">
        <f>615534967-635449969.55</f>
        <v>-19915002.549999952</v>
      </c>
    </row>
    <row r="1181" spans="2:14" ht="15.75">
      <c r="B1181" s="240"/>
      <c r="C1181" s="240"/>
      <c r="D1181" s="196"/>
      <c r="E1181" s="241"/>
      <c r="F1181" s="25"/>
      <c r="G1181" s="26"/>
      <c r="H1181" s="27"/>
      <c r="I1181" s="27"/>
      <c r="J1181" s="28"/>
      <c r="K1181" s="28"/>
      <c r="L1181" s="28"/>
      <c r="M1181" s="17"/>
      <c r="N1181" s="67"/>
    </row>
    <row r="1182" spans="2:14" ht="14.25">
      <c r="B1182" s="196"/>
      <c r="C1182" s="196"/>
      <c r="D1182" s="196"/>
      <c r="E1182" s="197"/>
      <c r="F1182" s="25"/>
      <c r="G1182" s="26"/>
      <c r="J1182" s="28"/>
      <c r="K1182" s="28"/>
      <c r="L1182" s="28"/>
      <c r="M1182" s="17"/>
      <c r="N1182" s="28"/>
    </row>
    <row r="1183" spans="2:14" ht="15" thickBot="1">
      <c r="B1183" s="196"/>
      <c r="C1183" s="196"/>
      <c r="D1183" s="196"/>
      <c r="E1183" s="197"/>
      <c r="F1183" s="25"/>
      <c r="G1183" s="26"/>
      <c r="H1183" s="27"/>
      <c r="I1183" s="28"/>
      <c r="J1183" s="28"/>
      <c r="K1183" s="28"/>
      <c r="L1183" s="28"/>
      <c r="M1183" s="17"/>
      <c r="N1183" s="28"/>
    </row>
    <row r="1184" spans="2:14" ht="17.25" thickBot="1">
      <c r="B1184" s="196"/>
      <c r="C1184" s="196"/>
      <c r="D1184" s="196"/>
      <c r="E1184" s="197"/>
      <c r="F1184" s="751" t="s">
        <v>1317</v>
      </c>
      <c r="G1184" s="59"/>
      <c r="H1184" s="60"/>
      <c r="I1184" s="589">
        <f>L1185+L1186+L1225+L1237+L1244+L1250+L1265</f>
        <v>5431577019.9972</v>
      </c>
      <c r="J1184" s="542"/>
      <c r="K1184" s="542"/>
      <c r="L1184" s="542"/>
      <c r="M1184" s="17"/>
      <c r="N1184" s="28"/>
    </row>
    <row r="1185" spans="2:14" ht="16.5">
      <c r="B1185" s="196"/>
      <c r="C1185" s="196"/>
      <c r="D1185" s="196"/>
      <c r="E1185" s="197"/>
      <c r="F1185" s="588" t="s">
        <v>315</v>
      </c>
      <c r="G1185" s="61"/>
      <c r="H1185" s="62"/>
      <c r="I1185" s="63"/>
      <c r="J1185" s="63"/>
      <c r="K1185" s="63"/>
      <c r="L1185" s="435">
        <v>89115000</v>
      </c>
      <c r="M1185" s="444"/>
      <c r="N1185" s="28"/>
    </row>
    <row r="1186" spans="1:15" ht="16.5">
      <c r="A1186" t="s">
        <v>1295</v>
      </c>
      <c r="B1186" s="196"/>
      <c r="C1186" s="196"/>
      <c r="D1186" s="196"/>
      <c r="E1186" s="197"/>
      <c r="F1186" s="445" t="s">
        <v>316</v>
      </c>
      <c r="G1186" s="64"/>
      <c r="H1186" s="65"/>
      <c r="I1186" s="66"/>
      <c r="J1186" s="66"/>
      <c r="K1186" s="66"/>
      <c r="L1186" s="436">
        <f>L1187+L1193+L1199+L1207</f>
        <v>1692012000</v>
      </c>
      <c r="M1186" s="51"/>
      <c r="N1186" s="315"/>
      <c r="O1186" s="286">
        <f>N1188-L1186</f>
        <v>-268124960</v>
      </c>
    </row>
    <row r="1187" spans="1:14" ht="15.75">
      <c r="A1187" t="s">
        <v>1295</v>
      </c>
      <c r="B1187" s="196"/>
      <c r="C1187" s="196"/>
      <c r="D1187" s="196"/>
      <c r="E1187" s="197">
        <v>89115000</v>
      </c>
      <c r="F1187" s="102" t="s">
        <v>1318</v>
      </c>
      <c r="G1187" s="68"/>
      <c r="H1187" s="69"/>
      <c r="I1187" s="70"/>
      <c r="J1187" s="70"/>
      <c r="K1187" s="70"/>
      <c r="L1187" s="437">
        <f>L1192</f>
        <v>933000000</v>
      </c>
      <c r="M1187" s="51"/>
      <c r="N1187" s="329"/>
    </row>
    <row r="1188" spans="1:15" ht="15.75">
      <c r="A1188" t="s">
        <v>1295</v>
      </c>
      <c r="B1188" s="196"/>
      <c r="C1188" s="196"/>
      <c r="D1188" s="196"/>
      <c r="E1188" s="197">
        <v>1423887040</v>
      </c>
      <c r="F1188" s="83" t="s">
        <v>1319</v>
      </c>
      <c r="G1188" s="68"/>
      <c r="H1188" s="69"/>
      <c r="I1188" s="70"/>
      <c r="J1188" s="70"/>
      <c r="K1188" s="70"/>
      <c r="L1188" s="438">
        <v>10160000</v>
      </c>
      <c r="M1188" s="13"/>
      <c r="N1188" s="329">
        <f>923887040+500000000</f>
        <v>1423887040</v>
      </c>
      <c r="O1188" s="261">
        <f>870000000-L1187</f>
        <v>-63000000</v>
      </c>
    </row>
    <row r="1189" spans="1:14" ht="15">
      <c r="A1189" t="s">
        <v>1295</v>
      </c>
      <c r="B1189" s="196"/>
      <c r="C1189" s="196"/>
      <c r="D1189" s="196"/>
      <c r="E1189" s="197">
        <v>769162080</v>
      </c>
      <c r="F1189" s="83" t="s">
        <v>1320</v>
      </c>
      <c r="G1189" s="68"/>
      <c r="H1189" s="69"/>
      <c r="I1189" s="70"/>
      <c r="J1189" s="70"/>
      <c r="K1189" s="70"/>
      <c r="L1189" s="438">
        <v>10400000</v>
      </c>
      <c r="M1189" s="448"/>
      <c r="N1189" s="318">
        <f>L1187</f>
        <v>933000000</v>
      </c>
    </row>
    <row r="1190" spans="1:14" ht="14.25">
      <c r="A1190" t="s">
        <v>1295</v>
      </c>
      <c r="B1190" s="196"/>
      <c r="C1190" s="196"/>
      <c r="D1190" s="196"/>
      <c r="E1190" s="197">
        <v>6160000</v>
      </c>
      <c r="F1190" s="83" t="s">
        <v>1321</v>
      </c>
      <c r="G1190" s="68"/>
      <c r="H1190" s="69"/>
      <c r="I1190" s="70"/>
      <c r="J1190" s="70"/>
      <c r="K1190" s="70"/>
      <c r="L1190" s="438">
        <v>432482249.68</v>
      </c>
      <c r="M1190" s="448"/>
      <c r="N1190" s="331"/>
    </row>
    <row r="1191" spans="2:14" ht="14.25">
      <c r="B1191" s="196"/>
      <c r="C1191" s="196"/>
      <c r="D1191" s="196"/>
      <c r="E1191" s="197">
        <v>10400000</v>
      </c>
      <c r="F1191" s="14" t="s">
        <v>1322</v>
      </c>
      <c r="G1191" s="68"/>
      <c r="H1191" s="69"/>
      <c r="I1191" s="70"/>
      <c r="J1191" s="70"/>
      <c r="K1191" s="70"/>
      <c r="L1191" s="438">
        <f>350119830.32+837920+96000000+33000000</f>
        <v>479957750.32</v>
      </c>
      <c r="M1191" s="448"/>
      <c r="N1191" s="331"/>
    </row>
    <row r="1192" spans="2:14" ht="15">
      <c r="B1192" s="196"/>
      <c r="C1192" s="196"/>
      <c r="D1192" s="196"/>
      <c r="E1192" s="197">
        <v>402482249.68</v>
      </c>
      <c r="F1192" s="14" t="s">
        <v>703</v>
      </c>
      <c r="G1192" s="68"/>
      <c r="H1192" s="69"/>
      <c r="I1192" s="70"/>
      <c r="J1192" s="70"/>
      <c r="K1192" s="70"/>
      <c r="L1192" s="75">
        <f>SUM(L1188:L1191)</f>
        <v>933000000</v>
      </c>
      <c r="M1192" s="448"/>
      <c r="N1192" s="331"/>
    </row>
    <row r="1193" spans="1:14" ht="15">
      <c r="A1193" t="s">
        <v>1067</v>
      </c>
      <c r="B1193" s="196"/>
      <c r="C1193" s="196"/>
      <c r="D1193" s="196"/>
      <c r="E1193" s="197">
        <v>350119830.32</v>
      </c>
      <c r="F1193" s="102" t="s">
        <v>652</v>
      </c>
      <c r="G1193" s="68"/>
      <c r="H1193" s="69"/>
      <c r="I1193" s="70"/>
      <c r="J1193" s="70"/>
      <c r="K1193" s="70"/>
      <c r="L1193" s="437">
        <f>L1198</f>
        <v>308012000</v>
      </c>
      <c r="M1193" s="18"/>
      <c r="N1193" s="331" t="s">
        <v>1368</v>
      </c>
    </row>
    <row r="1194" spans="1:15" ht="15">
      <c r="A1194" t="s">
        <v>1261</v>
      </c>
      <c r="B1194" s="196"/>
      <c r="C1194" s="196"/>
      <c r="D1194" s="196"/>
      <c r="E1194" s="197">
        <v>769162080</v>
      </c>
      <c r="F1194" s="14" t="s">
        <v>1323</v>
      </c>
      <c r="G1194" s="71"/>
      <c r="H1194" s="69"/>
      <c r="I1194" s="70"/>
      <c r="J1194" s="70"/>
      <c r="K1194" s="70"/>
      <c r="L1194" s="438">
        <v>27075120</v>
      </c>
      <c r="M1194" s="13"/>
      <c r="N1194" s="317"/>
      <c r="O1194" s="286">
        <f>338012000-L1193</f>
        <v>30000000</v>
      </c>
    </row>
    <row r="1195" spans="1:14" ht="15">
      <c r="A1195" t="s">
        <v>1068</v>
      </c>
      <c r="B1195" s="196"/>
      <c r="C1195" s="196"/>
      <c r="D1195" s="196"/>
      <c r="E1195" s="197">
        <v>288012000</v>
      </c>
      <c r="F1195" s="14" t="s">
        <v>1324</v>
      </c>
      <c r="G1195" s="71"/>
      <c r="H1195" s="69"/>
      <c r="I1195" s="70"/>
      <c r="J1195" s="70"/>
      <c r="K1195" s="70"/>
      <c r="L1195" s="438">
        <v>272997209.04</v>
      </c>
      <c r="M1195" s="448"/>
      <c r="N1195" s="318">
        <f>L1193</f>
        <v>308012000</v>
      </c>
    </row>
    <row r="1196" spans="1:14" ht="14.25">
      <c r="A1196" t="s">
        <v>1260</v>
      </c>
      <c r="B1196" s="196"/>
      <c r="C1196" s="196"/>
      <c r="D1196" s="196"/>
      <c r="E1196" s="197">
        <v>7075120</v>
      </c>
      <c r="F1196" s="14" t="s">
        <v>1325</v>
      </c>
      <c r="G1196" s="71"/>
      <c r="H1196" s="69"/>
      <c r="I1196" s="70"/>
      <c r="J1196" s="70"/>
      <c r="K1196" s="70"/>
      <c r="L1196" s="438">
        <f>(3290000+1000000)*1.04</f>
        <v>4461600</v>
      </c>
      <c r="M1196" s="448"/>
      <c r="N1196" s="331"/>
    </row>
    <row r="1197" spans="2:14" ht="14.25">
      <c r="B1197" s="196"/>
      <c r="C1197" s="196"/>
      <c r="D1197" s="196"/>
      <c r="E1197" s="197">
        <v>272997209.04</v>
      </c>
      <c r="F1197" s="14" t="s">
        <v>1326</v>
      </c>
      <c r="G1197" s="68"/>
      <c r="H1197" s="69"/>
      <c r="I1197" s="70"/>
      <c r="J1197" s="70"/>
      <c r="K1197" s="70"/>
      <c r="L1197" s="438">
        <f>(995000+149299+1200000+1000000)*1.04</f>
        <v>3478070.96</v>
      </c>
      <c r="M1197" s="448"/>
      <c r="N1197" s="331"/>
    </row>
    <row r="1198" spans="2:14" ht="15">
      <c r="B1198" s="196"/>
      <c r="C1198" s="196"/>
      <c r="D1198" s="196"/>
      <c r="E1198" s="197">
        <v>4461600</v>
      </c>
      <c r="F1198" s="14" t="s">
        <v>703</v>
      </c>
      <c r="G1198" s="68"/>
      <c r="H1198" s="69"/>
      <c r="I1198" s="70"/>
      <c r="J1198" s="70"/>
      <c r="K1198" s="70"/>
      <c r="L1198" s="75">
        <f>SUM(L1194:L1197)</f>
        <v>308012000</v>
      </c>
      <c r="M1198" s="448"/>
      <c r="N1198" s="331"/>
    </row>
    <row r="1199" spans="1:14" ht="15">
      <c r="A1199" t="s">
        <v>1295</v>
      </c>
      <c r="B1199" s="196"/>
      <c r="C1199" s="196"/>
      <c r="D1199" s="196"/>
      <c r="E1199" s="197">
        <v>3478070.96</v>
      </c>
      <c r="F1199" s="102" t="s">
        <v>1327</v>
      </c>
      <c r="G1199" s="68"/>
      <c r="H1199" s="69"/>
      <c r="I1199" s="70"/>
      <c r="J1199" s="70"/>
      <c r="K1199" s="70"/>
      <c r="L1199" s="437">
        <f>L1206</f>
        <v>250000000</v>
      </c>
      <c r="M1199" s="18"/>
      <c r="N1199" s="331"/>
    </row>
    <row r="1200" spans="1:15" ht="15">
      <c r="A1200" t="s">
        <v>1295</v>
      </c>
      <c r="B1200" s="196"/>
      <c r="C1200" s="196"/>
      <c r="D1200" s="196"/>
      <c r="E1200" s="197">
        <v>288012000</v>
      </c>
      <c r="F1200" s="83" t="s">
        <v>1050</v>
      </c>
      <c r="G1200" s="68"/>
      <c r="H1200" s="69"/>
      <c r="I1200" s="70"/>
      <c r="J1200" s="70"/>
      <c r="K1200" s="70"/>
      <c r="L1200" s="438">
        <v>1080000</v>
      </c>
      <c r="M1200" s="13"/>
      <c r="N1200" s="317"/>
      <c r="O1200" s="286">
        <f>250000000-L1199</f>
        <v>0</v>
      </c>
    </row>
    <row r="1201" spans="1:14" ht="15">
      <c r="A1201" t="s">
        <v>1295</v>
      </c>
      <c r="B1201" s="196"/>
      <c r="C1201" s="196"/>
      <c r="D1201" s="196"/>
      <c r="E1201" s="197">
        <v>273604960</v>
      </c>
      <c r="F1201" s="83" t="s">
        <v>1328</v>
      </c>
      <c r="G1201" s="68"/>
      <c r="H1201" s="69"/>
      <c r="I1201" s="70"/>
      <c r="J1201" s="70"/>
      <c r="K1201" s="70"/>
      <c r="L1201" s="438">
        <f>250000000+26395040-46000000</f>
        <v>230395040</v>
      </c>
      <c r="M1201" s="448"/>
      <c r="N1201" s="318">
        <f>L1199</f>
        <v>250000000</v>
      </c>
    </row>
    <row r="1202" spans="1:14" ht="14.25">
      <c r="A1202" t="s">
        <v>1295</v>
      </c>
      <c r="B1202" s="196"/>
      <c r="C1202" s="196"/>
      <c r="D1202" s="196"/>
      <c r="E1202" s="197">
        <v>3080000</v>
      </c>
      <c r="F1202" s="83" t="s">
        <v>1329</v>
      </c>
      <c r="G1202" s="68"/>
      <c r="H1202" s="69"/>
      <c r="I1202" s="70"/>
      <c r="J1202" s="70"/>
      <c r="K1202" s="70"/>
      <c r="L1202" s="438">
        <v>2392000</v>
      </c>
      <c r="M1202" s="448"/>
      <c r="N1202" s="331"/>
    </row>
    <row r="1203" spans="1:14" ht="14.25">
      <c r="A1203" t="s">
        <v>1295</v>
      </c>
      <c r="B1203" s="196"/>
      <c r="C1203" s="196"/>
      <c r="D1203" s="196"/>
      <c r="E1203" s="197">
        <v>250000000</v>
      </c>
      <c r="F1203" s="83" t="s">
        <v>1330</v>
      </c>
      <c r="G1203" s="68"/>
      <c r="H1203" s="69"/>
      <c r="I1203" s="70"/>
      <c r="J1203" s="70"/>
      <c r="K1203" s="70"/>
      <c r="L1203" s="438">
        <v>8000000</v>
      </c>
      <c r="M1203" s="448"/>
      <c r="N1203" s="331" t="s">
        <v>1368</v>
      </c>
    </row>
    <row r="1204" spans="1:14" ht="14.25">
      <c r="A1204" t="s">
        <v>1295</v>
      </c>
      <c r="B1204" s="196"/>
      <c r="C1204" s="196"/>
      <c r="D1204" s="196"/>
      <c r="E1204" s="197">
        <v>2392000</v>
      </c>
      <c r="F1204" s="83" t="s">
        <v>1049</v>
      </c>
      <c r="G1204" s="68"/>
      <c r="H1204" s="69"/>
      <c r="I1204" s="70"/>
      <c r="J1204" s="70"/>
      <c r="K1204" s="70"/>
      <c r="L1204" s="438">
        <v>4080000</v>
      </c>
      <c r="M1204" s="448"/>
      <c r="N1204" s="331"/>
    </row>
    <row r="1205" spans="2:14" ht="14.25">
      <c r="B1205" s="196"/>
      <c r="C1205" s="196"/>
      <c r="D1205" s="196"/>
      <c r="E1205" s="197">
        <v>10000000</v>
      </c>
      <c r="F1205" s="83" t="s">
        <v>1331</v>
      </c>
      <c r="G1205" s="68"/>
      <c r="H1205" s="69"/>
      <c r="I1205" s="70"/>
      <c r="J1205" s="70"/>
      <c r="K1205" s="70"/>
      <c r="L1205" s="438">
        <v>4052960</v>
      </c>
      <c r="M1205" s="448"/>
      <c r="N1205" s="331"/>
    </row>
    <row r="1206" spans="2:14" ht="15">
      <c r="B1206" s="196"/>
      <c r="C1206" s="196"/>
      <c r="D1206" s="196"/>
      <c r="E1206" s="197">
        <v>4080000</v>
      </c>
      <c r="F1206" s="72" t="s">
        <v>703</v>
      </c>
      <c r="G1206" s="73"/>
      <c r="H1206" s="74"/>
      <c r="I1206" s="75"/>
      <c r="J1206" s="75"/>
      <c r="K1206" s="75"/>
      <c r="L1206" s="75">
        <f>SUM(L1200:L1205)</f>
        <v>250000000</v>
      </c>
      <c r="M1206" s="448"/>
      <c r="N1206" s="331"/>
    </row>
    <row r="1207" spans="1:14" ht="15">
      <c r="A1207" t="s">
        <v>1295</v>
      </c>
      <c r="B1207" s="196"/>
      <c r="C1207" s="196"/>
      <c r="D1207" s="196"/>
      <c r="E1207" s="197">
        <v>4052960</v>
      </c>
      <c r="F1207" s="102" t="s">
        <v>1332</v>
      </c>
      <c r="G1207" s="68"/>
      <c r="H1207" s="69"/>
      <c r="I1207" s="70"/>
      <c r="J1207" s="70"/>
      <c r="K1207" s="70"/>
      <c r="L1207" s="437">
        <f>L1221</f>
        <v>201000000</v>
      </c>
      <c r="M1207" s="18"/>
      <c r="N1207" s="331"/>
    </row>
    <row r="1208" spans="1:15" ht="15">
      <c r="A1208" t="s">
        <v>1295</v>
      </c>
      <c r="B1208" s="196"/>
      <c r="C1208" s="196"/>
      <c r="D1208" s="196"/>
      <c r="E1208" s="197">
        <v>273604960</v>
      </c>
      <c r="F1208" s="83" t="s">
        <v>1333</v>
      </c>
      <c r="G1208" s="68"/>
      <c r="H1208" s="69"/>
      <c r="I1208" s="70"/>
      <c r="J1208" s="70"/>
      <c r="K1208" s="70"/>
      <c r="L1208" s="438">
        <v>4480000</v>
      </c>
      <c r="M1208" s="13"/>
      <c r="N1208" s="317"/>
      <c r="O1208" s="286">
        <f>192000000-L1207</f>
        <v>-9000000</v>
      </c>
    </row>
    <row r="1209" spans="1:14" ht="15">
      <c r="A1209" t="s">
        <v>1295</v>
      </c>
      <c r="B1209" s="196"/>
      <c r="C1209" s="196"/>
      <c r="D1209" s="196"/>
      <c r="E1209" s="197">
        <v>93108000</v>
      </c>
      <c r="F1209" s="83" t="s">
        <v>1334</v>
      </c>
      <c r="G1209" s="68"/>
      <c r="H1209" s="69"/>
      <c r="I1209" s="70"/>
      <c r="J1209" s="70"/>
      <c r="K1209" s="70"/>
      <c r="L1209" s="438">
        <v>5000000</v>
      </c>
      <c r="M1209" s="448"/>
      <c r="N1209" s="318">
        <f>L1207</f>
        <v>201000000</v>
      </c>
    </row>
    <row r="1210" spans="1:14" ht="14.25">
      <c r="A1210" t="s">
        <v>1295</v>
      </c>
      <c r="B1210" s="196"/>
      <c r="C1210" s="196"/>
      <c r="D1210" s="196"/>
      <c r="E1210" s="197">
        <v>4480000</v>
      </c>
      <c r="F1210" s="83" t="s">
        <v>1335</v>
      </c>
      <c r="G1210" s="71"/>
      <c r="H1210" s="69"/>
      <c r="I1210" s="70"/>
      <c r="J1210" s="70"/>
      <c r="K1210" s="70"/>
      <c r="L1210" s="438">
        <v>3120000</v>
      </c>
      <c r="M1210" s="448"/>
      <c r="N1210" s="331"/>
    </row>
    <row r="1211" spans="1:14" ht="14.25">
      <c r="A1211" t="s">
        <v>1295</v>
      </c>
      <c r="B1211" s="196"/>
      <c r="C1211" s="196"/>
      <c r="D1211" s="196"/>
      <c r="E1211" s="197">
        <v>5000000</v>
      </c>
      <c r="F1211" s="83" t="s">
        <v>71</v>
      </c>
      <c r="G1211" s="68"/>
      <c r="H1211" s="69"/>
      <c r="I1211" s="70"/>
      <c r="J1211" s="70"/>
      <c r="K1211" s="70"/>
      <c r="L1211" s="438">
        <v>8800000</v>
      </c>
      <c r="M1211" s="448"/>
      <c r="N1211" s="331">
        <f>SUM(N1189:N1209)</f>
        <v>1692012000</v>
      </c>
    </row>
    <row r="1212" spans="1:14" ht="14.25">
      <c r="A1212" t="s">
        <v>1295</v>
      </c>
      <c r="B1212" s="196"/>
      <c r="C1212" s="196"/>
      <c r="D1212" s="196"/>
      <c r="E1212" s="197">
        <v>3120000</v>
      </c>
      <c r="F1212" s="83" t="s">
        <v>1341</v>
      </c>
      <c r="G1212" s="68"/>
      <c r="H1212" s="69"/>
      <c r="I1212" s="70"/>
      <c r="J1212" s="70"/>
      <c r="K1212" s="70"/>
      <c r="L1212" s="438">
        <v>1828000</v>
      </c>
      <c r="M1212" s="448"/>
      <c r="N1212" s="331"/>
    </row>
    <row r="1213" spans="1:14" ht="14.25">
      <c r="A1213" t="s">
        <v>1295</v>
      </c>
      <c r="B1213" s="196"/>
      <c r="C1213" s="196"/>
      <c r="D1213" s="196"/>
      <c r="E1213" s="197">
        <v>5800000</v>
      </c>
      <c r="F1213" s="83" t="s">
        <v>1342</v>
      </c>
      <c r="G1213" s="68"/>
      <c r="H1213" s="69"/>
      <c r="I1213" s="70"/>
      <c r="J1213" s="70"/>
      <c r="K1213" s="70"/>
      <c r="L1213" s="438">
        <v>6000000</v>
      </c>
      <c r="M1213" s="448"/>
      <c r="N1213" s="331"/>
    </row>
    <row r="1214" spans="1:14" ht="14.25">
      <c r="A1214" t="s">
        <v>1295</v>
      </c>
      <c r="B1214" s="196"/>
      <c r="C1214" s="196"/>
      <c r="D1214" s="196"/>
      <c r="E1214" s="197">
        <v>1828000</v>
      </c>
      <c r="F1214" s="83" t="s">
        <v>720</v>
      </c>
      <c r="G1214" s="68"/>
      <c r="H1214" s="69"/>
      <c r="I1214" s="70"/>
      <c r="J1214" s="70"/>
      <c r="K1214" s="70"/>
      <c r="L1214" s="438">
        <v>8400000</v>
      </c>
      <c r="M1214" s="448"/>
      <c r="N1214" s="331"/>
    </row>
    <row r="1215" spans="1:14" ht="14.25">
      <c r="A1215" t="s">
        <v>1295</v>
      </c>
      <c r="B1215" s="196"/>
      <c r="C1215" s="196"/>
      <c r="D1215" s="196"/>
      <c r="E1215" s="197">
        <v>4000000</v>
      </c>
      <c r="F1215" s="83" t="s">
        <v>1345</v>
      </c>
      <c r="G1215" s="68"/>
      <c r="H1215" s="69"/>
      <c r="I1215" s="70"/>
      <c r="J1215" s="70"/>
      <c r="K1215" s="70"/>
      <c r="L1215" s="438">
        <v>17000000</v>
      </c>
      <c r="M1215" s="448"/>
      <c r="N1215" s="331"/>
    </row>
    <row r="1216" spans="1:14" ht="14.25">
      <c r="A1216" t="s">
        <v>1295</v>
      </c>
      <c r="B1216" s="196"/>
      <c r="C1216" s="196"/>
      <c r="D1216" s="196"/>
      <c r="E1216" s="197">
        <v>6400000</v>
      </c>
      <c r="F1216" s="83" t="s">
        <v>1346</v>
      </c>
      <c r="G1216" s="68"/>
      <c r="H1216" s="69"/>
      <c r="I1216" s="70"/>
      <c r="J1216" s="70"/>
      <c r="K1216" s="70"/>
      <c r="L1216" s="438">
        <v>5320000</v>
      </c>
      <c r="M1216" s="448"/>
      <c r="N1216" s="331"/>
    </row>
    <row r="1217" spans="1:14" ht="14.25">
      <c r="A1217" t="s">
        <v>1295</v>
      </c>
      <c r="B1217" s="196"/>
      <c r="C1217" s="196"/>
      <c r="D1217" s="196"/>
      <c r="E1217" s="197">
        <v>17000000</v>
      </c>
      <c r="F1217" s="83" t="s">
        <v>1052</v>
      </c>
      <c r="G1217" s="68"/>
      <c r="H1217" s="69"/>
      <c r="I1217" s="70"/>
      <c r="J1217" s="70"/>
      <c r="K1217" s="70"/>
      <c r="L1217" s="438">
        <v>2000000</v>
      </c>
      <c r="M1217" s="448"/>
      <c r="N1217" s="331"/>
    </row>
    <row r="1218" spans="1:14" ht="14.25">
      <c r="A1218" t="s">
        <v>1295</v>
      </c>
      <c r="B1218" s="196"/>
      <c r="C1218" s="196"/>
      <c r="D1218" s="196"/>
      <c r="E1218" s="197">
        <v>5320000</v>
      </c>
      <c r="F1218" s="83" t="s">
        <v>1347</v>
      </c>
      <c r="G1218" s="68"/>
      <c r="H1218" s="69"/>
      <c r="I1218" s="70"/>
      <c r="J1218" s="70"/>
      <c r="K1218" s="70"/>
      <c r="L1218" s="438">
        <v>38760000</v>
      </c>
      <c r="M1218" s="448"/>
      <c r="N1218" s="331"/>
    </row>
    <row r="1219" spans="2:14" ht="14.25">
      <c r="B1219" s="196"/>
      <c r="C1219" s="196"/>
      <c r="D1219" s="196"/>
      <c r="E1219" s="197">
        <v>2000000</v>
      </c>
      <c r="F1219" s="83" t="s">
        <v>1051</v>
      </c>
      <c r="G1219" s="68"/>
      <c r="H1219" s="69"/>
      <c r="I1219" s="70"/>
      <c r="J1219" s="70"/>
      <c r="K1219" s="70"/>
      <c r="L1219" s="438">
        <v>5200000</v>
      </c>
      <c r="M1219" s="448"/>
      <c r="N1219" s="331"/>
    </row>
    <row r="1220" spans="2:15" ht="14.25">
      <c r="B1220" s="196"/>
      <c r="C1220" s="196"/>
      <c r="D1220" s="196"/>
      <c r="E1220" s="197">
        <v>28760000</v>
      </c>
      <c r="F1220" s="14" t="s">
        <v>1669</v>
      </c>
      <c r="G1220" s="68"/>
      <c r="H1220" s="69"/>
      <c r="I1220" s="70"/>
      <c r="J1220" s="70"/>
      <c r="K1220" s="70"/>
      <c r="L1220" s="438">
        <f>86092000+9000000</f>
        <v>95092000</v>
      </c>
      <c r="M1220" s="448"/>
      <c r="N1220" s="331"/>
      <c r="O1220" t="s">
        <v>1368</v>
      </c>
    </row>
    <row r="1221" spans="1:14" ht="15">
      <c r="A1221" t="s">
        <v>1266</v>
      </c>
      <c r="B1221" s="196"/>
      <c r="C1221" s="196"/>
      <c r="D1221" s="196"/>
      <c r="E1221" s="197">
        <v>5200000</v>
      </c>
      <c r="F1221" s="14" t="s">
        <v>703</v>
      </c>
      <c r="G1221" s="68"/>
      <c r="H1221" s="69"/>
      <c r="I1221" s="70"/>
      <c r="J1221" s="70"/>
      <c r="K1221" s="70"/>
      <c r="L1221" s="75">
        <f>SUM(L1208:L1220)</f>
        <v>201000000</v>
      </c>
      <c r="M1221" s="448"/>
      <c r="N1221" s="331"/>
    </row>
    <row r="1222" spans="1:14" ht="15">
      <c r="A1222" t="s">
        <v>1267</v>
      </c>
      <c r="B1222" s="196"/>
      <c r="C1222" s="196"/>
      <c r="D1222" s="196"/>
      <c r="E1222" s="197">
        <v>10000000</v>
      </c>
      <c r="F1222" s="102" t="s">
        <v>1348</v>
      </c>
      <c r="G1222" s="76"/>
      <c r="H1222" s="77"/>
      <c r="I1222" s="78"/>
      <c r="J1222" s="78"/>
      <c r="K1222" s="78"/>
      <c r="L1222" s="437">
        <v>1041000000</v>
      </c>
      <c r="M1222" s="18"/>
      <c r="N1222" s="331" t="s">
        <v>1368</v>
      </c>
    </row>
    <row r="1223" spans="2:14" ht="15">
      <c r="B1223" s="196"/>
      <c r="C1223" s="196"/>
      <c r="D1223" s="196"/>
      <c r="E1223" s="197">
        <v>93108000</v>
      </c>
      <c r="F1223" s="102" t="s">
        <v>1349</v>
      </c>
      <c r="G1223" s="76"/>
      <c r="H1223" s="77"/>
      <c r="I1223" s="78"/>
      <c r="J1223" s="78"/>
      <c r="K1223" s="78"/>
      <c r="L1223" s="437">
        <f>248000000</f>
        <v>248000000</v>
      </c>
      <c r="M1223" s="13"/>
      <c r="N1223" s="317"/>
    </row>
    <row r="1224" spans="2:14" ht="15">
      <c r="B1224" s="196"/>
      <c r="C1224" s="196"/>
      <c r="D1224" s="196"/>
      <c r="E1224" s="197">
        <v>780000000</v>
      </c>
      <c r="F1224" s="102"/>
      <c r="G1224" s="76"/>
      <c r="H1224" s="77"/>
      <c r="I1224" s="78"/>
      <c r="J1224" s="78"/>
      <c r="K1224" s="78"/>
      <c r="L1224" s="437"/>
      <c r="M1224" s="13"/>
      <c r="N1224" s="385">
        <f>L1222+L1223</f>
        <v>1289000000</v>
      </c>
    </row>
    <row r="1225" spans="1:15" ht="15.75">
      <c r="A1225" t="s">
        <v>1297</v>
      </c>
      <c r="B1225" s="196"/>
      <c r="C1225" s="196"/>
      <c r="D1225" s="196"/>
      <c r="E1225" s="197">
        <v>333720000</v>
      </c>
      <c r="F1225" s="590" t="s">
        <v>1350</v>
      </c>
      <c r="G1225" s="64"/>
      <c r="H1225" s="65"/>
      <c r="I1225" s="66"/>
      <c r="J1225" s="66"/>
      <c r="K1225" s="66"/>
      <c r="L1225" s="436">
        <f>L1236</f>
        <v>1060620420</v>
      </c>
      <c r="M1225" s="13"/>
      <c r="N1225" s="318"/>
      <c r="O1225" s="286">
        <f>N1227-L1225</f>
        <v>125330216</v>
      </c>
    </row>
    <row r="1226" spans="1:14" ht="15.75">
      <c r="A1226" t="s">
        <v>1296</v>
      </c>
      <c r="B1226" s="196"/>
      <c r="C1226" s="196"/>
      <c r="D1226" s="196"/>
      <c r="E1226" s="197"/>
      <c r="F1226" s="14" t="s">
        <v>1351</v>
      </c>
      <c r="G1226" s="68"/>
      <c r="H1226" s="69"/>
      <c r="I1226" s="70"/>
      <c r="J1226" s="70"/>
      <c r="K1226" s="70"/>
      <c r="L1226" s="438">
        <v>9000000</v>
      </c>
      <c r="M1226" s="51"/>
      <c r="N1226" s="318"/>
    </row>
    <row r="1227" spans="1:14" ht="15.75">
      <c r="A1227" s="294" t="s">
        <v>912</v>
      </c>
      <c r="B1227" s="196"/>
      <c r="C1227" s="196"/>
      <c r="D1227" s="196"/>
      <c r="E1227" s="197">
        <v>1185950636</v>
      </c>
      <c r="F1227" s="14" t="s">
        <v>1352</v>
      </c>
      <c r="G1227" s="68"/>
      <c r="H1227" s="69"/>
      <c r="I1227" s="70"/>
      <c r="J1227" s="70"/>
      <c r="K1227" s="70"/>
      <c r="L1227" s="438">
        <v>335336000</v>
      </c>
      <c r="M1227" s="448"/>
      <c r="N1227" s="67">
        <f>1985950636-800000000</f>
        <v>1185950636</v>
      </c>
    </row>
    <row r="1228" spans="2:14" ht="14.25">
      <c r="B1228" s="196"/>
      <c r="C1228" s="196"/>
      <c r="D1228" s="196"/>
      <c r="E1228" s="197">
        <v>15600000</v>
      </c>
      <c r="F1228" s="14" t="s">
        <v>1353</v>
      </c>
      <c r="G1228" s="68"/>
      <c r="H1228" s="69"/>
      <c r="I1228" s="70"/>
      <c r="J1228" s="70"/>
      <c r="K1228" s="70"/>
      <c r="L1228" s="70">
        <v>79500</v>
      </c>
      <c r="M1228" s="448"/>
      <c r="N1228" s="331" t="s">
        <v>1368</v>
      </c>
    </row>
    <row r="1229" spans="1:14" ht="14.25">
      <c r="A1229" t="s">
        <v>1299</v>
      </c>
      <c r="B1229" s="196"/>
      <c r="C1229" s="196"/>
      <c r="D1229" s="196"/>
      <c r="E1229" s="197">
        <v>322115200</v>
      </c>
      <c r="F1229" s="296" t="s">
        <v>1368</v>
      </c>
      <c r="G1229" s="68"/>
      <c r="H1229" s="69"/>
      <c r="I1229" s="70"/>
      <c r="J1229" s="70"/>
      <c r="K1229" s="70"/>
      <c r="L1229" s="70" t="s">
        <v>1368</v>
      </c>
      <c r="M1229" s="17"/>
      <c r="N1229" s="331"/>
    </row>
    <row r="1230" spans="1:15" ht="14.25">
      <c r="A1230" t="s">
        <v>1299</v>
      </c>
      <c r="B1230" s="196"/>
      <c r="C1230" s="196"/>
      <c r="D1230" s="196"/>
      <c r="E1230" s="197">
        <v>79500</v>
      </c>
      <c r="F1230" s="14" t="s">
        <v>150</v>
      </c>
      <c r="G1230" s="68"/>
      <c r="H1230" s="69"/>
      <c r="I1230" s="70"/>
      <c r="J1230" s="70"/>
      <c r="K1230" s="70"/>
      <c r="L1230" s="438">
        <v>688204920</v>
      </c>
      <c r="M1230" s="17"/>
      <c r="N1230" s="129"/>
      <c r="O1230" s="286">
        <f>SUM(L1230:L1235)-L1234</f>
        <v>691204920</v>
      </c>
    </row>
    <row r="1231" spans="2:14" ht="14.25">
      <c r="B1231" s="196"/>
      <c r="C1231" s="196"/>
      <c r="D1231" s="196"/>
      <c r="E1231" s="197" t="s">
        <v>1368</v>
      </c>
      <c r="F1231" s="14" t="s">
        <v>1169</v>
      </c>
      <c r="G1231" s="68"/>
      <c r="H1231" s="69">
        <v>67</v>
      </c>
      <c r="I1231" s="70">
        <f>65000+35000</f>
        <v>100000</v>
      </c>
      <c r="J1231" s="70"/>
      <c r="K1231" s="70"/>
      <c r="L1231" s="438">
        <v>0</v>
      </c>
      <c r="M1231" s="448"/>
      <c r="N1231" s="129"/>
    </row>
    <row r="1232" spans="1:14" ht="14.25">
      <c r="A1232" t="s">
        <v>1299</v>
      </c>
      <c r="B1232" s="196"/>
      <c r="C1232" s="196"/>
      <c r="D1232" s="196"/>
      <c r="E1232" s="197">
        <v>759895250.72</v>
      </c>
      <c r="F1232" s="2" t="s">
        <v>14</v>
      </c>
      <c r="G1232" s="244"/>
      <c r="H1232" s="69">
        <v>6</v>
      </c>
      <c r="I1232" s="70">
        <v>27000000</v>
      </c>
      <c r="J1232" s="129"/>
      <c r="K1232" s="129"/>
      <c r="L1232" s="438">
        <f>H1232*I1232*0</f>
        <v>0</v>
      </c>
      <c r="M1232" s="448"/>
      <c r="N1232" s="331"/>
    </row>
    <row r="1233" spans="1:15" ht="14.25">
      <c r="A1233" t="s">
        <v>1299</v>
      </c>
      <c r="B1233" s="196"/>
      <c r="C1233" s="196"/>
      <c r="D1233" s="196"/>
      <c r="E1233" s="197">
        <v>40170960</v>
      </c>
      <c r="F1233" s="14" t="s">
        <v>1170</v>
      </c>
      <c r="G1233" s="68"/>
      <c r="H1233" s="69"/>
      <c r="I1233" s="70"/>
      <c r="J1233" s="70"/>
      <c r="K1233" s="70"/>
      <c r="L1233" s="438">
        <f>(101310000+5050818)*1.04*0</f>
        <v>0</v>
      </c>
      <c r="M1233" s="448"/>
      <c r="N1233" s="331"/>
      <c r="O1233" s="286">
        <f>1076000000-O1230</f>
        <v>384795080</v>
      </c>
    </row>
    <row r="1234" spans="2:14" ht="14.25">
      <c r="B1234" s="196"/>
      <c r="C1234" s="196"/>
      <c r="D1234" s="196"/>
      <c r="E1234" s="197">
        <v>0</v>
      </c>
      <c r="F1234" s="14" t="s">
        <v>151</v>
      </c>
      <c r="G1234" s="68"/>
      <c r="H1234" s="69"/>
      <c r="I1234" s="302">
        <v>25000000</v>
      </c>
      <c r="J1234" s="70"/>
      <c r="K1234" s="70"/>
      <c r="L1234" s="438">
        <v>25000000</v>
      </c>
      <c r="M1234" s="448"/>
      <c r="N1234" s="331"/>
    </row>
    <row r="1235" spans="2:15" ht="14.25">
      <c r="B1235" s="196"/>
      <c r="C1235" s="196"/>
      <c r="D1235" s="196"/>
      <c r="E1235" s="197">
        <v>0</v>
      </c>
      <c r="F1235" s="14" t="s">
        <v>1354</v>
      </c>
      <c r="G1235" s="68"/>
      <c r="H1235" s="69"/>
      <c r="I1235" s="70"/>
      <c r="J1235" s="70"/>
      <c r="K1235" s="70"/>
      <c r="L1235" s="438">
        <v>3000000</v>
      </c>
      <c r="M1235" s="448"/>
      <c r="N1235" s="331"/>
      <c r="O1235" t="s">
        <v>1368</v>
      </c>
    </row>
    <row r="1236" spans="2:15" ht="15">
      <c r="B1236" s="196"/>
      <c r="C1236" s="196"/>
      <c r="D1236" s="196"/>
      <c r="E1236" s="197">
        <v>30848000</v>
      </c>
      <c r="F1236" s="14"/>
      <c r="G1236" s="68"/>
      <c r="H1236" s="69"/>
      <c r="I1236" s="70"/>
      <c r="J1236" s="70"/>
      <c r="K1236" s="70"/>
      <c r="L1236" s="75">
        <f>SUM(L1226:L1235)</f>
        <v>1060620420</v>
      </c>
      <c r="M1236" s="448"/>
      <c r="N1236" s="331"/>
      <c r="O1236" t="s">
        <v>1368</v>
      </c>
    </row>
    <row r="1237" spans="1:14" ht="15.75">
      <c r="A1237" t="s">
        <v>1298</v>
      </c>
      <c r="B1237" s="196"/>
      <c r="C1237" s="196"/>
      <c r="D1237" s="196"/>
      <c r="E1237" s="197">
        <v>17241725.28</v>
      </c>
      <c r="F1237" s="590" t="s">
        <v>1355</v>
      </c>
      <c r="G1237" s="68"/>
      <c r="H1237" s="69"/>
      <c r="I1237" s="70"/>
      <c r="J1237" s="70"/>
      <c r="K1237" s="70"/>
      <c r="L1237" s="436">
        <f>L1243</f>
        <v>1499999999.9972</v>
      </c>
      <c r="M1237" s="18"/>
      <c r="N1237" s="331"/>
    </row>
    <row r="1238" spans="1:14" ht="15.75">
      <c r="A1238" t="s">
        <v>1298</v>
      </c>
      <c r="B1238" s="196"/>
      <c r="C1238" s="196"/>
      <c r="D1238" s="196"/>
      <c r="E1238" s="197"/>
      <c r="F1238" s="14" t="s">
        <v>1356</v>
      </c>
      <c r="G1238" s="68"/>
      <c r="H1238" s="69"/>
      <c r="I1238" s="70"/>
      <c r="J1238" s="70"/>
      <c r="K1238" s="70"/>
      <c r="L1238" s="438">
        <v>300000000</v>
      </c>
      <c r="M1238" s="51"/>
      <c r="N1238" s="317"/>
    </row>
    <row r="1239" spans="1:14" ht="15.75">
      <c r="A1239" t="s">
        <v>1298</v>
      </c>
      <c r="B1239" s="196"/>
      <c r="C1239" s="196"/>
      <c r="D1239" s="196"/>
      <c r="E1239" s="197">
        <v>1503826667.0272</v>
      </c>
      <c r="F1239" s="14" t="s">
        <v>1357</v>
      </c>
      <c r="G1239" s="68"/>
      <c r="H1239" s="69"/>
      <c r="I1239" s="70"/>
      <c r="J1239" s="70"/>
      <c r="K1239" s="70"/>
      <c r="L1239" s="438">
        <v>194688000</v>
      </c>
      <c r="M1239" s="448"/>
      <c r="N1239" s="329"/>
    </row>
    <row r="1240" spans="1:14" ht="14.25">
      <c r="A1240" t="s">
        <v>1298</v>
      </c>
      <c r="B1240" s="196"/>
      <c r="C1240" s="196"/>
      <c r="D1240" s="196"/>
      <c r="E1240" s="197">
        <v>300000000</v>
      </c>
      <c r="F1240" s="14" t="s">
        <v>1358</v>
      </c>
      <c r="G1240" s="68"/>
      <c r="H1240" s="69"/>
      <c r="I1240" s="70"/>
      <c r="J1240" s="70"/>
      <c r="K1240" s="70"/>
      <c r="L1240" s="438">
        <v>8220160</v>
      </c>
      <c r="M1240" s="448"/>
      <c r="N1240" s="331"/>
    </row>
    <row r="1241" spans="2:15" ht="14.25">
      <c r="B1241" s="196"/>
      <c r="C1241" s="196"/>
      <c r="D1241" s="196"/>
      <c r="E1241" s="197">
        <v>194688000</v>
      </c>
      <c r="F1241" s="14" t="s">
        <v>1359</v>
      </c>
      <c r="G1241" s="68"/>
      <c r="H1241" s="69"/>
      <c r="I1241" s="70"/>
      <c r="J1241" s="70"/>
      <c r="K1241" s="70"/>
      <c r="L1241" s="438">
        <f>((652543158+168287316)*1.04)*1.04</f>
        <v>887810240.6784</v>
      </c>
      <c r="M1241" s="448"/>
      <c r="N1241" s="331"/>
      <c r="O1241" s="286">
        <f>1600000000-L1237</f>
        <v>100000000.00279999</v>
      </c>
    </row>
    <row r="1242" spans="2:14" ht="14.25">
      <c r="B1242" s="196"/>
      <c r="C1242" s="196"/>
      <c r="D1242" s="196"/>
      <c r="E1242" s="197">
        <v>8220160</v>
      </c>
      <c r="F1242" s="14" t="s">
        <v>1316</v>
      </c>
      <c r="G1242" s="68"/>
      <c r="H1242" s="69"/>
      <c r="I1242" s="70"/>
      <c r="J1242" s="70"/>
      <c r="K1242" s="70"/>
      <c r="L1242" s="438">
        <f>113108266.3488-3826667.03</f>
        <v>109281599.3188</v>
      </c>
      <c r="M1242" s="448"/>
      <c r="N1242" s="331"/>
    </row>
    <row r="1243" spans="2:14" ht="14.25">
      <c r="B1243" s="196"/>
      <c r="C1243" s="196"/>
      <c r="D1243" s="196"/>
      <c r="E1243" s="197">
        <v>887810240.6784</v>
      </c>
      <c r="F1243" s="14"/>
      <c r="G1243" s="68"/>
      <c r="H1243" s="69"/>
      <c r="I1243" s="70"/>
      <c r="J1243" s="70"/>
      <c r="K1243" s="70"/>
      <c r="L1243" s="70">
        <f>SUM(L1238:L1242)</f>
        <v>1499999999.9972</v>
      </c>
      <c r="M1243" s="448"/>
      <c r="N1243" s="331"/>
    </row>
    <row r="1244" spans="1:15" ht="15.75">
      <c r="A1244" t="s">
        <v>1265</v>
      </c>
      <c r="B1244" s="196"/>
      <c r="C1244" s="196"/>
      <c r="D1244" s="196"/>
      <c r="E1244" s="197">
        <v>113108266.3488</v>
      </c>
      <c r="F1244" s="590" t="s">
        <v>1360</v>
      </c>
      <c r="G1244" s="68"/>
      <c r="H1244" s="69"/>
      <c r="I1244" s="70"/>
      <c r="J1244" s="70"/>
      <c r="K1244" s="70"/>
      <c r="L1244" s="436">
        <f>L1249</f>
        <v>173820000</v>
      </c>
      <c r="M1244" s="17"/>
      <c r="N1244" s="331"/>
      <c r="O1244" s="286">
        <f>N1246-L1244</f>
        <v>-14420000</v>
      </c>
    </row>
    <row r="1245" spans="1:14" ht="15.75">
      <c r="A1245" t="s">
        <v>1300</v>
      </c>
      <c r="B1245" s="196"/>
      <c r="C1245" s="196"/>
      <c r="D1245" s="196"/>
      <c r="E1245" s="197">
        <v>1503826667.0272</v>
      </c>
      <c r="F1245" s="14" t="s">
        <v>1361</v>
      </c>
      <c r="G1245" s="68"/>
      <c r="H1245" s="69"/>
      <c r="I1245" s="70"/>
      <c r="J1245" s="70"/>
      <c r="K1245" s="70"/>
      <c r="L1245" s="438">
        <v>55000000</v>
      </c>
      <c r="M1245" s="51"/>
      <c r="N1245" s="129"/>
    </row>
    <row r="1246" spans="1:14" ht="15.75">
      <c r="A1246" t="s">
        <v>1300</v>
      </c>
      <c r="B1246" s="196"/>
      <c r="C1246" s="196"/>
      <c r="D1246" s="196"/>
      <c r="E1246" s="197">
        <v>159400000</v>
      </c>
      <c r="F1246" s="14" t="s">
        <v>1362</v>
      </c>
      <c r="G1246" s="68"/>
      <c r="H1246" s="69"/>
      <c r="I1246" s="70"/>
      <c r="J1246" s="70"/>
      <c r="K1246" s="70"/>
      <c r="L1246" s="438">
        <v>25000000</v>
      </c>
      <c r="M1246" s="448"/>
      <c r="N1246" s="329">
        <f>119400000+40000000</f>
        <v>159400000</v>
      </c>
    </row>
    <row r="1247" spans="2:14" ht="14.25">
      <c r="B1247" s="196"/>
      <c r="C1247" s="196"/>
      <c r="D1247" s="196"/>
      <c r="E1247" s="197">
        <v>39928000</v>
      </c>
      <c r="F1247" s="14" t="s">
        <v>1363</v>
      </c>
      <c r="G1247" s="68"/>
      <c r="H1247" s="69"/>
      <c r="I1247" s="70"/>
      <c r="J1247" s="70"/>
      <c r="K1247" s="70"/>
      <c r="L1247" s="438">
        <v>20000000</v>
      </c>
      <c r="M1247" s="448"/>
      <c r="N1247" s="331"/>
    </row>
    <row r="1248" spans="2:14" ht="14.25">
      <c r="B1248" s="196"/>
      <c r="C1248" s="196"/>
      <c r="D1248" s="196"/>
      <c r="E1248" s="197">
        <v>92408000</v>
      </c>
      <c r="F1248" s="14" t="s">
        <v>1364</v>
      </c>
      <c r="G1248" s="68"/>
      <c r="H1248" s="69"/>
      <c r="I1248" s="70"/>
      <c r="J1248" s="70"/>
      <c r="K1248" s="70"/>
      <c r="L1248" s="438">
        <v>73820000</v>
      </c>
      <c r="M1248" s="448"/>
      <c r="N1248" s="331"/>
    </row>
    <row r="1249" spans="2:14" ht="15">
      <c r="B1249" s="196"/>
      <c r="C1249" s="196"/>
      <c r="D1249" s="196"/>
      <c r="E1249" s="197">
        <v>20800000</v>
      </c>
      <c r="F1249" s="72" t="s">
        <v>703</v>
      </c>
      <c r="G1249" s="73"/>
      <c r="H1249" s="74"/>
      <c r="I1249" s="75"/>
      <c r="J1249" s="75"/>
      <c r="K1249" s="75"/>
      <c r="L1249" s="75">
        <f>SUM(L1245:L1248)</f>
        <v>173820000</v>
      </c>
      <c r="M1249" s="448"/>
      <c r="N1249" s="331"/>
    </row>
    <row r="1250" spans="1:14" ht="15.75">
      <c r="A1250" t="s">
        <v>1299</v>
      </c>
      <c r="B1250" s="196"/>
      <c r="C1250" s="196"/>
      <c r="D1250" s="196"/>
      <c r="E1250" s="197">
        <v>6264000</v>
      </c>
      <c r="F1250" s="590" t="s">
        <v>1365</v>
      </c>
      <c r="G1250" s="68"/>
      <c r="H1250" s="69"/>
      <c r="I1250" s="70"/>
      <c r="J1250" s="70"/>
      <c r="K1250" s="70"/>
      <c r="L1250" s="436">
        <f>SUM(L1251:L1256)</f>
        <v>388009600</v>
      </c>
      <c r="M1250" s="18"/>
      <c r="N1250" s="331"/>
    </row>
    <row r="1251" spans="1:14" ht="15.75">
      <c r="A1251" t="s">
        <v>1262</v>
      </c>
      <c r="B1251" s="196"/>
      <c r="C1251" s="196"/>
      <c r="D1251" s="196"/>
      <c r="E1251" s="197">
        <v>159400000</v>
      </c>
      <c r="F1251" s="14" t="s">
        <v>1366</v>
      </c>
      <c r="G1251" s="68"/>
      <c r="H1251" s="69"/>
      <c r="I1251" s="70"/>
      <c r="J1251" s="70"/>
      <c r="K1251" s="70"/>
      <c r="L1251" s="438">
        <v>4988669.92</v>
      </c>
      <c r="M1251" s="51"/>
      <c r="N1251" s="317"/>
    </row>
    <row r="1252" spans="1:14" ht="15.75">
      <c r="A1252" t="s">
        <v>1262</v>
      </c>
      <c r="B1252" s="196"/>
      <c r="C1252" s="196"/>
      <c r="D1252" s="196"/>
      <c r="E1252" s="197">
        <v>388009600</v>
      </c>
      <c r="F1252" s="2" t="s">
        <v>1413</v>
      </c>
      <c r="G1252" s="244"/>
      <c r="H1252" s="69"/>
      <c r="I1252" s="70"/>
      <c r="J1252" s="129"/>
      <c r="K1252" s="129"/>
      <c r="L1252" s="438">
        <v>93200000</v>
      </c>
      <c r="M1252" s="448"/>
      <c r="N1252" s="329"/>
    </row>
    <row r="1253" spans="1:15" ht="14.25">
      <c r="A1253" t="s">
        <v>1299</v>
      </c>
      <c r="B1253" s="196"/>
      <c r="C1253" s="196"/>
      <c r="D1253" s="196"/>
      <c r="E1253" s="197">
        <v>4988669.92</v>
      </c>
      <c r="F1253" s="2" t="s">
        <v>1412</v>
      </c>
      <c r="G1253" s="244"/>
      <c r="H1253" s="69"/>
      <c r="I1253" s="70"/>
      <c r="J1253" s="129"/>
      <c r="K1253" s="129"/>
      <c r="L1253" s="438">
        <v>120000000</v>
      </c>
      <c r="M1253" s="448"/>
      <c r="N1253" s="331"/>
      <c r="O1253" t="s">
        <v>1368</v>
      </c>
    </row>
    <row r="1254" spans="2:14" ht="14.25">
      <c r="B1254" s="196"/>
      <c r="C1254" s="196"/>
      <c r="D1254" s="196"/>
      <c r="E1254" s="197">
        <v>93200000</v>
      </c>
      <c r="F1254" s="2" t="s">
        <v>15</v>
      </c>
      <c r="G1254" s="244"/>
      <c r="H1254" s="69"/>
      <c r="I1254" s="70"/>
      <c r="J1254" s="129"/>
      <c r="K1254" s="129"/>
      <c r="L1254" s="438">
        <v>45000000</v>
      </c>
      <c r="M1254" s="448"/>
      <c r="N1254" s="331"/>
    </row>
    <row r="1255" spans="2:15" ht="14.25">
      <c r="B1255" s="196"/>
      <c r="C1255" s="196"/>
      <c r="D1255" s="196"/>
      <c r="E1255" s="197">
        <v>120000000</v>
      </c>
      <c r="F1255" s="2" t="s">
        <v>1414</v>
      </c>
      <c r="G1255" s="244"/>
      <c r="H1255" s="69"/>
      <c r="I1255" s="70"/>
      <c r="J1255" s="129"/>
      <c r="K1255" s="129"/>
      <c r="L1255" s="438">
        <v>104000000</v>
      </c>
      <c r="M1255" s="448"/>
      <c r="N1255" s="331"/>
      <c r="O1255" t="s">
        <v>1368</v>
      </c>
    </row>
    <row r="1256" spans="2:15" ht="14.25">
      <c r="B1256" s="196"/>
      <c r="C1256" s="196"/>
      <c r="D1256" s="196"/>
      <c r="E1256" s="197">
        <v>45000000</v>
      </c>
      <c r="F1256" s="2" t="s">
        <v>1322</v>
      </c>
      <c r="G1256" s="244"/>
      <c r="H1256" s="69"/>
      <c r="I1256" s="70"/>
      <c r="J1256" s="129"/>
      <c r="K1256" s="129"/>
      <c r="L1256" s="438">
        <v>20820930.08</v>
      </c>
      <c r="M1256" s="448"/>
      <c r="N1256" s="331"/>
      <c r="O1256" t="s">
        <v>1368</v>
      </c>
    </row>
    <row r="1257" spans="2:14" ht="14.25">
      <c r="B1257" s="196"/>
      <c r="C1257" s="196"/>
      <c r="D1257" s="196"/>
      <c r="E1257" s="197">
        <v>104000000</v>
      </c>
      <c r="F1257" s="2"/>
      <c r="G1257" s="244"/>
      <c r="H1257" s="69"/>
      <c r="I1257" s="70"/>
      <c r="J1257" s="129"/>
      <c r="K1257" s="129"/>
      <c r="L1257" s="70"/>
      <c r="M1257" s="448"/>
      <c r="N1257" s="331"/>
    </row>
    <row r="1258" spans="1:14" ht="15">
      <c r="A1258" t="s">
        <v>1263</v>
      </c>
      <c r="B1258" s="196"/>
      <c r="C1258" s="196"/>
      <c r="D1258" s="196"/>
      <c r="E1258" s="197">
        <v>20820930.08</v>
      </c>
      <c r="F1258" s="257" t="s">
        <v>1053</v>
      </c>
      <c r="G1258" s="244"/>
      <c r="H1258" s="69"/>
      <c r="I1258" s="70"/>
      <c r="J1258" s="129"/>
      <c r="K1258" s="129"/>
      <c r="L1258" s="439">
        <f>L1259</f>
        <v>920000000</v>
      </c>
      <c r="M1258" s="17"/>
      <c r="N1258" s="331"/>
    </row>
    <row r="1259" spans="2:14" ht="15">
      <c r="B1259" s="196"/>
      <c r="C1259" s="196"/>
      <c r="D1259" s="196"/>
      <c r="E1259" s="197"/>
      <c r="F1259" s="2" t="s">
        <v>1055</v>
      </c>
      <c r="G1259" s="244"/>
      <c r="H1259" s="69"/>
      <c r="I1259" s="70"/>
      <c r="J1259" s="129"/>
      <c r="K1259" s="129"/>
      <c r="L1259" s="438">
        <v>920000000</v>
      </c>
      <c r="M1259" s="449"/>
      <c r="N1259" s="129"/>
    </row>
    <row r="1260" spans="1:15" ht="15">
      <c r="A1260" t="s">
        <v>1269</v>
      </c>
      <c r="B1260" s="196"/>
      <c r="C1260" s="196"/>
      <c r="D1260" s="196"/>
      <c r="E1260" s="197">
        <v>1028837520</v>
      </c>
      <c r="F1260" s="251" t="s">
        <v>1675</v>
      </c>
      <c r="G1260" s="244"/>
      <c r="H1260" s="69"/>
      <c r="I1260" s="70"/>
      <c r="J1260" s="129"/>
      <c r="K1260" s="129"/>
      <c r="L1260" s="439">
        <f>SUM(L1261:L1264)</f>
        <v>149867005</v>
      </c>
      <c r="M1260" s="448"/>
      <c r="N1260" s="332"/>
      <c r="O1260" s="286">
        <f>149867005-L1260</f>
        <v>0</v>
      </c>
    </row>
    <row r="1261" spans="1:14" ht="15">
      <c r="A1261" t="s">
        <v>1269</v>
      </c>
      <c r="B1261" s="196"/>
      <c r="C1261" s="196"/>
      <c r="D1261" s="196"/>
      <c r="E1261" s="197">
        <v>1028837520</v>
      </c>
      <c r="F1261" s="252" t="s">
        <v>1344</v>
      </c>
      <c r="G1261" s="244"/>
      <c r="H1261" s="69"/>
      <c r="I1261" s="70"/>
      <c r="J1261" s="129"/>
      <c r="K1261" s="129"/>
      <c r="L1261" s="438">
        <v>60900000</v>
      </c>
      <c r="M1261" s="449"/>
      <c r="N1261" s="331"/>
    </row>
    <row r="1262" spans="1:14" ht="15">
      <c r="A1262" t="s">
        <v>1269</v>
      </c>
      <c r="B1262" s="196"/>
      <c r="C1262" s="196"/>
      <c r="D1262" s="196"/>
      <c r="E1262" s="197">
        <v>119400000</v>
      </c>
      <c r="F1262" s="252" t="s">
        <v>1343</v>
      </c>
      <c r="G1262" s="244"/>
      <c r="H1262" s="69"/>
      <c r="I1262" s="70"/>
      <c r="J1262" s="129"/>
      <c r="K1262" s="129"/>
      <c r="L1262" s="438">
        <v>86755013</v>
      </c>
      <c r="M1262" s="448"/>
      <c r="N1262" s="332"/>
    </row>
    <row r="1263" spans="2:14" ht="14.25">
      <c r="B1263" s="196"/>
      <c r="C1263" s="196"/>
      <c r="D1263" s="196"/>
      <c r="E1263" s="197">
        <v>70855700</v>
      </c>
      <c r="F1263" s="252" t="s">
        <v>1457</v>
      </c>
      <c r="G1263" s="244"/>
      <c r="H1263" s="69"/>
      <c r="I1263" s="70"/>
      <c r="J1263" s="129"/>
      <c r="K1263" s="129"/>
      <c r="L1263" s="438">
        <f>1120000</f>
        <v>1120000</v>
      </c>
      <c r="M1263" s="448"/>
      <c r="N1263" s="331"/>
    </row>
    <row r="1264" spans="2:15" ht="14.25">
      <c r="B1264" s="196"/>
      <c r="C1264" s="196"/>
      <c r="D1264" s="196"/>
      <c r="E1264" s="197">
        <v>39993800</v>
      </c>
      <c r="F1264" s="252" t="s">
        <v>1056</v>
      </c>
      <c r="G1264" s="244"/>
      <c r="H1264" s="69"/>
      <c r="I1264" s="70"/>
      <c r="J1264" s="129"/>
      <c r="K1264" s="129"/>
      <c r="L1264" s="438">
        <f>1211992-120000</f>
        <v>1091992</v>
      </c>
      <c r="M1264" s="448"/>
      <c r="N1264" s="331"/>
      <c r="O1264" t="s">
        <v>1368</v>
      </c>
    </row>
    <row r="1265" spans="1:14" ht="15.75">
      <c r="A1265" t="s">
        <v>1268</v>
      </c>
      <c r="B1265" s="196"/>
      <c r="C1265" s="196"/>
      <c r="D1265" s="196"/>
      <c r="E1265" s="197">
        <v>5120000</v>
      </c>
      <c r="F1265" s="246" t="s">
        <v>1367</v>
      </c>
      <c r="G1265" s="244"/>
      <c r="H1265" s="69"/>
      <c r="I1265" s="70"/>
      <c r="J1265" s="129"/>
      <c r="K1265" s="129"/>
      <c r="L1265" s="436">
        <f>SUM(L1266:L1272)</f>
        <v>528000000</v>
      </c>
      <c r="M1265" s="448"/>
      <c r="N1265" s="331"/>
    </row>
    <row r="1266" spans="1:15" ht="15.75">
      <c r="A1266" t="s">
        <v>1301</v>
      </c>
      <c r="B1266" s="196"/>
      <c r="C1266" s="196"/>
      <c r="D1266" s="196"/>
      <c r="E1266" s="197">
        <v>3430500</v>
      </c>
      <c r="F1266" s="247" t="s">
        <v>1671</v>
      </c>
      <c r="G1266" s="244"/>
      <c r="H1266" s="69"/>
      <c r="I1266" s="70"/>
      <c r="J1266" s="129"/>
      <c r="K1266" s="129"/>
      <c r="L1266" s="438">
        <v>3067174.4</v>
      </c>
      <c r="M1266" s="51"/>
      <c r="N1266" s="331" t="s">
        <v>1368</v>
      </c>
      <c r="O1266" s="302">
        <v>1.21</v>
      </c>
    </row>
    <row r="1267" spans="1:14" ht="15.75">
      <c r="A1267" t="s">
        <v>1268</v>
      </c>
      <c r="B1267" s="196"/>
      <c r="C1267" s="196"/>
      <c r="D1267" s="196"/>
      <c r="E1267" s="197">
        <v>624915399.6800001</v>
      </c>
      <c r="F1267" s="247" t="s">
        <v>1057</v>
      </c>
      <c r="G1267" s="244"/>
      <c r="H1267" s="69"/>
      <c r="I1267" s="70"/>
      <c r="J1267" s="129"/>
      <c r="K1267" s="129"/>
      <c r="L1267" s="438">
        <v>3240304.64</v>
      </c>
      <c r="M1267" s="448"/>
      <c r="N1267" s="329"/>
    </row>
    <row r="1268" spans="1:14" ht="15">
      <c r="A1268" t="s">
        <v>1264</v>
      </c>
      <c r="B1268" s="196"/>
      <c r="C1268" s="196"/>
      <c r="D1268" s="196"/>
      <c r="E1268" s="197">
        <v>7067174.399999999</v>
      </c>
      <c r="F1268" s="247" t="s">
        <v>1670</v>
      </c>
      <c r="G1268" s="244"/>
      <c r="H1268" s="69"/>
      <c r="I1268" s="70"/>
      <c r="J1268" s="129"/>
      <c r="K1268" s="129"/>
      <c r="L1268" s="438">
        <f>26268697.6-1576176.64</f>
        <v>24692520.96</v>
      </c>
      <c r="M1268" s="448"/>
      <c r="N1268" s="302"/>
    </row>
    <row r="1269" spans="1:14" ht="15">
      <c r="A1269" t="s">
        <v>1301</v>
      </c>
      <c r="B1269" s="196"/>
      <c r="C1269" s="196"/>
      <c r="D1269" s="196"/>
      <c r="E1269" s="197">
        <v>4240304.64</v>
      </c>
      <c r="F1269" s="247" t="s">
        <v>1672</v>
      </c>
      <c r="G1269" s="244"/>
      <c r="H1269" s="69"/>
      <c r="I1269" s="70"/>
      <c r="J1269" s="129"/>
      <c r="K1269" s="129"/>
      <c r="L1269" s="438">
        <v>3000000</v>
      </c>
      <c r="M1269" s="448"/>
      <c r="N1269" s="331">
        <f>SUM(L1266:L1268)</f>
        <v>31000000</v>
      </c>
    </row>
    <row r="1270" spans="1:14" ht="15">
      <c r="A1270" t="s">
        <v>1301</v>
      </c>
      <c r="B1270" s="196"/>
      <c r="C1270" s="196"/>
      <c r="D1270" s="196"/>
      <c r="E1270" s="197">
        <v>28268697.599999998</v>
      </c>
      <c r="F1270" s="247" t="s">
        <v>1100</v>
      </c>
      <c r="G1270" s="244"/>
      <c r="H1270" s="69"/>
      <c r="I1270" s="70"/>
      <c r="J1270" s="129"/>
      <c r="K1270" s="129"/>
      <c r="L1270" s="438">
        <v>40000000</v>
      </c>
      <c r="M1270" s="448"/>
      <c r="N1270" s="331"/>
    </row>
    <row r="1271" spans="1:14" ht="15">
      <c r="A1271" t="s">
        <v>1301</v>
      </c>
      <c r="B1271" s="196"/>
      <c r="C1271" s="196"/>
      <c r="D1271" s="196"/>
      <c r="E1271" s="197">
        <v>11307479.04</v>
      </c>
      <c r="F1271" s="247" t="s">
        <v>1415</v>
      </c>
      <c r="G1271" s="244"/>
      <c r="H1271" s="69"/>
      <c r="I1271" s="304">
        <v>384337026</v>
      </c>
      <c r="J1271" s="129"/>
      <c r="K1271" s="129"/>
      <c r="L1271" s="438">
        <v>0</v>
      </c>
      <c r="M1271" s="448"/>
      <c r="N1271" s="331"/>
    </row>
    <row r="1272" spans="1:14" ht="15">
      <c r="A1272" t="s">
        <v>1301</v>
      </c>
      <c r="B1272" s="196"/>
      <c r="C1272" s="196"/>
      <c r="D1272" s="196"/>
      <c r="E1272" s="197">
        <v>70671744</v>
      </c>
      <c r="F1272" s="247" t="s">
        <v>1673</v>
      </c>
      <c r="G1272" s="244"/>
      <c r="H1272" s="69"/>
      <c r="I1272" s="70"/>
      <c r="J1272" s="129"/>
      <c r="K1272" s="129"/>
      <c r="L1272" s="438">
        <v>454000000</v>
      </c>
      <c r="M1272" s="448"/>
      <c r="N1272" s="331"/>
    </row>
    <row r="1273" spans="2:14" ht="15.75" thickBot="1">
      <c r="B1273" s="196"/>
      <c r="C1273" s="196"/>
      <c r="D1273" s="196"/>
      <c r="E1273" s="197"/>
      <c r="F1273" s="248" t="s">
        <v>1674</v>
      </c>
      <c r="G1273" s="79"/>
      <c r="H1273" s="69"/>
      <c r="I1273" s="70"/>
      <c r="J1273" s="81"/>
      <c r="K1273" s="81"/>
      <c r="L1273" s="438">
        <v>9040000</v>
      </c>
      <c r="M1273" s="448"/>
      <c r="N1273" s="331"/>
    </row>
    <row r="1274" spans="2:14" ht="15.75">
      <c r="B1274" s="196"/>
      <c r="C1274" s="196"/>
      <c r="D1274" s="196"/>
      <c r="E1274" s="197">
        <v>285600000</v>
      </c>
      <c r="F1274" s="246" t="s">
        <v>858</v>
      </c>
      <c r="G1274" s="244"/>
      <c r="H1274" s="303"/>
      <c r="I1274" s="305"/>
      <c r="J1274" s="129"/>
      <c r="K1274" s="129"/>
      <c r="L1274" s="440">
        <v>6000000</v>
      </c>
      <c r="M1274" s="448"/>
      <c r="N1274" s="331"/>
    </row>
    <row r="1275" spans="2:14" ht="16.5" thickBot="1">
      <c r="B1275" s="196"/>
      <c r="C1275" s="196"/>
      <c r="D1275" s="196"/>
      <c r="E1275" s="197">
        <v>1000000</v>
      </c>
      <c r="F1275" s="253" t="s">
        <v>864</v>
      </c>
      <c r="G1275" s="79"/>
      <c r="H1275" s="80"/>
      <c r="I1275" s="81"/>
      <c r="J1275" s="254"/>
      <c r="K1275" s="255"/>
      <c r="L1275" s="441">
        <v>67458314</v>
      </c>
      <c r="M1275" s="450"/>
      <c r="N1275" s="331"/>
    </row>
    <row r="1276" spans="2:14" ht="15.75">
      <c r="B1276" s="196"/>
      <c r="C1276" s="196"/>
      <c r="D1276" s="196"/>
      <c r="E1276" s="197">
        <v>3000000</v>
      </c>
      <c r="F1276" s="245"/>
      <c r="G1276" s="244"/>
      <c r="H1276" s="182"/>
      <c r="I1276" s="129"/>
      <c r="J1276" s="129"/>
      <c r="K1276" s="129"/>
      <c r="L1276" s="258"/>
      <c r="M1276" s="451"/>
      <c r="N1276" s="258"/>
    </row>
    <row r="1277" spans="2:14" ht="16.5">
      <c r="B1277" s="196"/>
      <c r="C1277" s="196"/>
      <c r="D1277" s="196"/>
      <c r="E1277" s="197">
        <v>10474000</v>
      </c>
      <c r="F1277" s="259" t="s">
        <v>653</v>
      </c>
      <c r="G1277" s="244"/>
      <c r="H1277" s="182"/>
      <c r="I1277" s="129"/>
      <c r="J1277" s="129"/>
      <c r="K1277" s="129"/>
      <c r="L1277" s="297">
        <f>(L15+I219+L1161+L1186+L1222+L1223+L1225+L1237+L1244+L1250+L1258+L1260+L1265+L1273+L1275)*0</f>
        <v>0</v>
      </c>
      <c r="M1277" s="258" t="s">
        <v>1368</v>
      </c>
      <c r="N1277" s="258"/>
    </row>
    <row r="1278" spans="2:14" ht="15.75">
      <c r="B1278" s="196"/>
      <c r="C1278" s="196"/>
      <c r="D1278" s="196"/>
      <c r="E1278" s="197"/>
      <c r="M1278" s="297"/>
      <c r="N1278" s="258"/>
    </row>
  </sheetData>
  <sheetProtection password="CC1F" sheet="1" objects="1" scenarios="1"/>
  <mergeCells count="6">
    <mergeCell ref="G11:L11"/>
    <mergeCell ref="I12:L12"/>
    <mergeCell ref="Q6:S6"/>
    <mergeCell ref="F2:L2"/>
    <mergeCell ref="F3:L3"/>
    <mergeCell ref="F4:L4"/>
  </mergeCells>
  <printOptions/>
  <pageMargins left="0.64" right="0.34" top="0.82" bottom="1.47" header="0.3937007874015748" footer="1.07"/>
  <pageSetup blackAndWhite="1" horizontalDpi="300" verticalDpi="300" orientation="portrait" paperSize="5" scale="65" r:id="rId4"/>
  <headerFooter alignWithMargins="0">
    <oddHeader>&amp;R&amp;P</oddHeader>
    <oddFooter>&amp;C&amp;"Brush Script MT,Cursiva"&amp;11Rodrigo L V.&amp;R&amp;P</oddFooter>
  </headerFooter>
  <ignoredErrors>
    <ignoredError sqref="L239 L24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lsuescun</cp:lastModifiedBy>
  <dcterms:created xsi:type="dcterms:W3CDTF">2005-09-07T14:51:46Z</dcterms:created>
  <dcterms:modified xsi:type="dcterms:W3CDTF">2005-09-07T14:51:47Z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